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mc:AlternateContent xmlns:mc="http://schemas.openxmlformats.org/markup-compatibility/2006">
    <mc:Choice Requires="x15">
      <x15ac:absPath xmlns:x15ac="http://schemas.microsoft.com/office/spreadsheetml/2010/11/ac" url="C:\Users\ivandm\Downloads\"/>
    </mc:Choice>
  </mc:AlternateContent>
  <xr:revisionPtr revIDLastSave="0" documentId="13_ncr:1_{D2F33E6B-8432-4CA6-A0B5-CDC6A4AFBDC6}" xr6:coauthVersionLast="36" xr6:coauthVersionMax="36" xr10:uidLastSave="{00000000-0000-0000-0000-000000000000}"/>
  <bookViews>
    <workbookView xWindow="0" yWindow="0" windowWidth="28800" windowHeight="12105" tabRatio="816" xr2:uid="{00000000-000D-0000-FFFF-FFFF00000000}"/>
  </bookViews>
  <sheets>
    <sheet name="PLAN ADQUISICIONES 2025" sheetId="20" r:id="rId1"/>
    <sheet name="2025  vs  2024" sheetId="17" r:id="rId2"/>
    <sheet name="OPS 2025" sheetId="18" r:id="rId3"/>
    <sheet name="plan adqu 2025 NECESIDADES" sheetId="6" r:id="rId4"/>
    <sheet name="Plan Adqui V34 2024" sheetId="15" r:id="rId5"/>
    <sheet name="Plan preliminar  ICFE 2025" sheetId="14" r:id="rId6"/>
    <sheet name="Plan Adqu ICFE 2023 (2)" sheetId="9" state="hidden" r:id="rId7"/>
    <sheet name="CatalogoPresupuestal" sheetId="3" r:id="rId8"/>
    <sheet name="Código UNSPSC" sheetId="2" r:id="rId9"/>
    <sheet name="OPS-2024" sheetId="1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1" hidden="1">'2025  vs  2024'!$B$7:$Z$400</definedName>
    <definedName name="_xlnm._FilterDatabase" localSheetId="7" hidden="1">CatalogoPresupuestal!$A$8:$R$4124</definedName>
    <definedName name="_xlnm._FilterDatabase" localSheetId="9" hidden="1">'OPS-2024'!$A$2:$M$86</definedName>
    <definedName name="_xlnm._FilterDatabase" localSheetId="3" hidden="1">'plan adqu 2025 NECESIDADES'!$B$6:$W$412</definedName>
    <definedName name="_xlnm._FilterDatabase" localSheetId="6" hidden="1">'Plan Adqu ICFE 2023 (2)'!$B$6:$U$347</definedName>
    <definedName name="_xlnm._FilterDatabase" localSheetId="4" hidden="1">'Plan Adqui V34 2024'!$A$6:$U$413</definedName>
    <definedName name="_xlnm._FilterDatabase" localSheetId="0" hidden="1">'PLAN ADQUISICIONES 2025'!$A$6:$AJ$378</definedName>
    <definedName name="incBuyerDossierDetaillnkRequestName" localSheetId="9">'OPS-2024'!#REF!</definedName>
    <definedName name="incSupplierBusinessCard2_0lnkCompanyLink" localSheetId="9">'OPS-2024'!#REF!</definedName>
    <definedName name="lnkContractReferenceLink_0" localSheetId="9">'OPS-2024'!#REF!</definedName>
    <definedName name="lnkContractReferenceLink_10" localSheetId="9">'OPS-2024'!#REF!</definedName>
    <definedName name="lnkContractReferenceLink_11" localSheetId="9">'OPS-2024'!#REF!</definedName>
    <definedName name="lnkContractReferenceLink_12" localSheetId="9">'OPS-2024'!#REF!</definedName>
    <definedName name="lnkContractReferenceLink_13" localSheetId="9">'OPS-2024'!#REF!</definedName>
    <definedName name="lnkContractReferenceLink_14" localSheetId="9">'OPS-2024'!#REF!</definedName>
    <definedName name="lnkContractReferenceLink_15" localSheetId="9">'OPS-2024'!#REF!</definedName>
    <definedName name="lnkContractReferenceLink_16" localSheetId="9">'OPS-2024'!#REF!</definedName>
    <definedName name="lnkContractReferenceLink_17" localSheetId="9">'OPS-2024'!#REF!</definedName>
    <definedName name="lnkContractReferenceLink_18" localSheetId="9">'OPS-2024'!#REF!</definedName>
    <definedName name="lnkContractReferenceLink_19" localSheetId="9">'OPS-2024'!#REF!</definedName>
    <definedName name="lnkContractReferenceLink_20" localSheetId="9">'OPS-2024'!#REF!</definedName>
    <definedName name="lnkContractReferenceLink_3" localSheetId="9">'OPS-2024'!#REF!</definedName>
    <definedName name="lnkContractReferenceLink_4" localSheetId="9">'OPS-2024'!#REF!</definedName>
    <definedName name="lnkContractReferenceLink_5" localSheetId="9">'OPS-2024'!#REF!</definedName>
    <definedName name="lnkContractReferenceLink_6" localSheetId="9">'OPS-2024'!#REF!</definedName>
    <definedName name="lnkContractReferenceLink_7" localSheetId="9">'OPS-2024'!#REF!</definedName>
    <definedName name="lnkContractReferenceLink_8" localSheetId="9">'OPS-2024'!#REF!</definedName>
    <definedName name="lnkContractReferenceLink_9" localSheetId="9">'OPS-2024'!#REF!</definedName>
    <definedName name="lnkOperatorName" localSheetId="9">'OPS-2024'!#REF!</definedName>
    <definedName name="lnkProcurementContractViewLink_0" localSheetId="9">'OPS-2024'!#REF!</definedName>
    <definedName name="lnkProcurementContractViewLink_1" localSheetId="9">'OPS-2024'!#REF!</definedName>
    <definedName name="tdRepliesUniqueIdentifierCol_lnkRepliesUniqueIdentifierViewLink_4" localSheetId="9">'OPS-2024'!#REF!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149" i="20" l="1"/>
  <c r="S149" i="20"/>
  <c r="R149" i="20"/>
  <c r="Z373" i="20" l="1"/>
  <c r="Y373" i="20"/>
  <c r="Z372" i="20"/>
  <c r="Y372" i="20"/>
  <c r="AI371" i="20"/>
  <c r="AH371" i="20"/>
  <c r="AG371" i="20"/>
  <c r="AF371" i="20"/>
  <c r="AE371" i="20"/>
  <c r="AD371" i="20"/>
  <c r="R371" i="20"/>
  <c r="AG369" i="20"/>
  <c r="AF369" i="20"/>
  <c r="AE369" i="20"/>
  <c r="AD369" i="20"/>
  <c r="AC369" i="20"/>
  <c r="AB369" i="20"/>
  <c r="AI367" i="20"/>
  <c r="AH367" i="20"/>
  <c r="AG367" i="20"/>
  <c r="AF367" i="20"/>
  <c r="AE367" i="20"/>
  <c r="AD367" i="20"/>
  <c r="AI365" i="20"/>
  <c r="AH365" i="20"/>
  <c r="AG365" i="20"/>
  <c r="AF365" i="20"/>
  <c r="AE365" i="20"/>
  <c r="AD365" i="20"/>
  <c r="AC365" i="20"/>
  <c r="AB365" i="20"/>
  <c r="AA365" i="20"/>
  <c r="Z365" i="20"/>
  <c r="R360" i="20"/>
  <c r="AC357" i="20"/>
  <c r="AB357" i="20"/>
  <c r="AA357" i="20"/>
  <c r="Z357" i="20"/>
  <c r="Y357" i="20"/>
  <c r="X357" i="20"/>
  <c r="AF356" i="20"/>
  <c r="AE356" i="20"/>
  <c r="AD356" i="20"/>
  <c r="AC356" i="20"/>
  <c r="AB356" i="20"/>
  <c r="AA356" i="20"/>
  <c r="Z356" i="20"/>
  <c r="Y356" i="20"/>
  <c r="X356" i="20"/>
  <c r="AG355" i="20"/>
  <c r="AF355" i="20"/>
  <c r="AE355" i="20"/>
  <c r="AD355" i="20"/>
  <c r="AC355" i="20"/>
  <c r="AH354" i="20"/>
  <c r="AG354" i="20"/>
  <c r="AF354" i="20"/>
  <c r="AE354" i="20"/>
  <c r="AD354" i="20"/>
  <c r="AC354" i="20"/>
  <c r="AB354" i="20"/>
  <c r="AA354" i="20"/>
  <c r="Z354" i="20"/>
  <c r="Y354" i="20"/>
  <c r="AH353" i="20"/>
  <c r="AG353" i="20"/>
  <c r="AF353" i="20"/>
  <c r="AE353" i="20"/>
  <c r="AD353" i="20"/>
  <c r="AC353" i="20"/>
  <c r="AB353" i="20"/>
  <c r="AA353" i="20"/>
  <c r="Z353" i="20"/>
  <c r="Y353" i="20"/>
  <c r="AH352" i="20"/>
  <c r="AG352" i="20"/>
  <c r="AF352" i="20"/>
  <c r="AE352" i="20"/>
  <c r="AD352" i="20"/>
  <c r="AC352" i="20"/>
  <c r="AB352" i="20"/>
  <c r="AA352" i="20"/>
  <c r="Z352" i="20"/>
  <c r="Y352" i="20"/>
  <c r="AH351" i="20"/>
  <c r="AG351" i="20"/>
  <c r="AF351" i="20"/>
  <c r="AE351" i="20"/>
  <c r="AD351" i="20"/>
  <c r="AC351" i="20"/>
  <c r="AB351" i="20"/>
  <c r="AA351" i="20"/>
  <c r="Z351" i="20"/>
  <c r="Y351" i="20"/>
  <c r="AH350" i="20"/>
  <c r="AG350" i="20"/>
  <c r="AF350" i="20"/>
  <c r="AE350" i="20"/>
  <c r="AD350" i="20"/>
  <c r="AC350" i="20"/>
  <c r="AB350" i="20"/>
  <c r="AA350" i="20"/>
  <c r="Z350" i="20"/>
  <c r="Y350" i="20"/>
  <c r="AH349" i="20"/>
  <c r="AG349" i="20"/>
  <c r="AF349" i="20"/>
  <c r="AE349" i="20"/>
  <c r="AD349" i="20"/>
  <c r="AC349" i="20"/>
  <c r="AB349" i="20"/>
  <c r="AA349" i="20"/>
  <c r="Z349" i="20"/>
  <c r="Y349" i="20"/>
  <c r="AH347" i="20"/>
  <c r="AG347" i="20"/>
  <c r="AF347" i="20"/>
  <c r="AE347" i="20"/>
  <c r="AD347" i="20"/>
  <c r="AC347" i="20"/>
  <c r="AB347" i="20"/>
  <c r="AA347" i="20"/>
  <c r="Z347" i="20"/>
  <c r="Y347" i="20"/>
  <c r="AG346" i="20"/>
  <c r="AF346" i="20"/>
  <c r="AE346" i="20"/>
  <c r="AD346" i="20"/>
  <c r="AC346" i="20"/>
  <c r="AB346" i="20"/>
  <c r="AA346" i="20"/>
  <c r="Z346" i="20"/>
  <c r="Y346" i="20"/>
  <c r="X346" i="20"/>
  <c r="AH345" i="20"/>
  <c r="AG345" i="20"/>
  <c r="AF345" i="20"/>
  <c r="AE345" i="20"/>
  <c r="AD345" i="20"/>
  <c r="AC345" i="20"/>
  <c r="AB345" i="20"/>
  <c r="AA345" i="20"/>
  <c r="Z345" i="20"/>
  <c r="Y345" i="20"/>
  <c r="AH344" i="20"/>
  <c r="AG344" i="20"/>
  <c r="AF344" i="20"/>
  <c r="AE344" i="20"/>
  <c r="AD344" i="20"/>
  <c r="AC344" i="20"/>
  <c r="AB344" i="20"/>
  <c r="AA344" i="20"/>
  <c r="Z344" i="20"/>
  <c r="Y344" i="20"/>
  <c r="AH343" i="20"/>
  <c r="AG343" i="20"/>
  <c r="AF343" i="20"/>
  <c r="AE343" i="20"/>
  <c r="AD343" i="20"/>
  <c r="AC343" i="20"/>
  <c r="AB343" i="20"/>
  <c r="AA343" i="20"/>
  <c r="Z343" i="20"/>
  <c r="Y343" i="20"/>
  <c r="AH342" i="20"/>
  <c r="AG342" i="20"/>
  <c r="AF342" i="20"/>
  <c r="AE342" i="20"/>
  <c r="AD342" i="20"/>
  <c r="AC342" i="20"/>
  <c r="AB342" i="20"/>
  <c r="AA342" i="20"/>
  <c r="Z342" i="20"/>
  <c r="Y342" i="20"/>
  <c r="AH341" i="20"/>
  <c r="AG341" i="20"/>
  <c r="AF341" i="20"/>
  <c r="AE341" i="20"/>
  <c r="AD341" i="20"/>
  <c r="AC341" i="20"/>
  <c r="AB341" i="20"/>
  <c r="AA341" i="20"/>
  <c r="Z341" i="20"/>
  <c r="Y341" i="20"/>
  <c r="AH340" i="20"/>
  <c r="AG340" i="20"/>
  <c r="AF340" i="20"/>
  <c r="AE340" i="20"/>
  <c r="AD340" i="20"/>
  <c r="AC340" i="20"/>
  <c r="AB340" i="20"/>
  <c r="AA340" i="20"/>
  <c r="Z340" i="20"/>
  <c r="Y340" i="20"/>
  <c r="AF339" i="20"/>
  <c r="AE339" i="20"/>
  <c r="AD339" i="20"/>
  <c r="AC339" i="20"/>
  <c r="AB339" i="20"/>
  <c r="AA339" i="20"/>
  <c r="Z339" i="20"/>
  <c r="Y339" i="20"/>
  <c r="AF338" i="20"/>
  <c r="AE338" i="20"/>
  <c r="AD338" i="20"/>
  <c r="AC338" i="20"/>
  <c r="AB338" i="20"/>
  <c r="AA338" i="20"/>
  <c r="Z338" i="20"/>
  <c r="Y338" i="20"/>
  <c r="X338" i="20"/>
  <c r="AG337" i="20"/>
  <c r="AF337" i="20"/>
  <c r="AE337" i="20"/>
  <c r="AD337" i="20"/>
  <c r="AH335" i="20"/>
  <c r="AG335" i="20"/>
  <c r="AF335" i="20"/>
  <c r="AE335" i="20"/>
  <c r="AD335" i="20"/>
  <c r="AC335" i="20"/>
  <c r="AB335" i="20"/>
  <c r="AA335" i="20"/>
  <c r="Z335" i="20"/>
  <c r="R334" i="20"/>
  <c r="AI333" i="20"/>
  <c r="AH333" i="20"/>
  <c r="AG333" i="20"/>
  <c r="AF333" i="20"/>
  <c r="AE333" i="20"/>
  <c r="AD333" i="20"/>
  <c r="AC333" i="20"/>
  <c r="AB333" i="20"/>
  <c r="AA333" i="20"/>
  <c r="AI331" i="20"/>
  <c r="AH331" i="20"/>
  <c r="AG331" i="20"/>
  <c r="AF331" i="20"/>
  <c r="AE331" i="20"/>
  <c r="AD331" i="20"/>
  <c r="AC331" i="20"/>
  <c r="AB331" i="20"/>
  <c r="AA331" i="20"/>
  <c r="AH329" i="20"/>
  <c r="AG329" i="20"/>
  <c r="AF329" i="20"/>
  <c r="AE329" i="20"/>
  <c r="AD329" i="20"/>
  <c r="AC329" i="20"/>
  <c r="AB329" i="20"/>
  <c r="AA329" i="20"/>
  <c r="AH327" i="20"/>
  <c r="AG327" i="20"/>
  <c r="AF327" i="20"/>
  <c r="AE327" i="20"/>
  <c r="AD327" i="20"/>
  <c r="AC327" i="20"/>
  <c r="AB327" i="20"/>
  <c r="AA327" i="20"/>
  <c r="AI325" i="20"/>
  <c r="AH325" i="20"/>
  <c r="AG325" i="20"/>
  <c r="AF325" i="20"/>
  <c r="AE325" i="20"/>
  <c r="AD325" i="20"/>
  <c r="AC325" i="20"/>
  <c r="AB325" i="20"/>
  <c r="AA325" i="20"/>
  <c r="AI363" i="20" l="1"/>
  <c r="AI362" i="20" s="1"/>
  <c r="AH363" i="20"/>
  <c r="AH362" i="20" s="1"/>
  <c r="AG363" i="20"/>
  <c r="AG362" i="20" s="1"/>
  <c r="AF363" i="20"/>
  <c r="AF362" i="20" s="1"/>
  <c r="AI323" i="20"/>
  <c r="AI322" i="20" s="1"/>
  <c r="AH323" i="20"/>
  <c r="AH322" i="20" s="1"/>
  <c r="AG323" i="20"/>
  <c r="AG322" i="20" s="1"/>
  <c r="AF323" i="20"/>
  <c r="AF322" i="20" s="1"/>
  <c r="AI317" i="20"/>
  <c r="AH317" i="20"/>
  <c r="AG317" i="20"/>
  <c r="AF317" i="20"/>
  <c r="AI314" i="20"/>
  <c r="AH314" i="20"/>
  <c r="AG314" i="20"/>
  <c r="AF314" i="20"/>
  <c r="AI312" i="20"/>
  <c r="AH312" i="20"/>
  <c r="AG312" i="20"/>
  <c r="AF312" i="20"/>
  <c r="AI310" i="20"/>
  <c r="AH310" i="20"/>
  <c r="AG310" i="20"/>
  <c r="AF310" i="20"/>
  <c r="AI308" i="20"/>
  <c r="AH308" i="20"/>
  <c r="AG308" i="20"/>
  <c r="AF308" i="20"/>
  <c r="AI303" i="20"/>
  <c r="AH303" i="20"/>
  <c r="AG303" i="20"/>
  <c r="AF303" i="20"/>
  <c r="AI300" i="20"/>
  <c r="AH300" i="20"/>
  <c r="AG300" i="20"/>
  <c r="AF300" i="20"/>
  <c r="AI297" i="20"/>
  <c r="AI296" i="20" s="1"/>
  <c r="AI295" i="20" s="1"/>
  <c r="AH297" i="20"/>
  <c r="AH296" i="20" s="1"/>
  <c r="AH295" i="20" s="1"/>
  <c r="AG297" i="20"/>
  <c r="AG296" i="20" s="1"/>
  <c r="AG295" i="20" s="1"/>
  <c r="AF297" i="20"/>
  <c r="AF296" i="20" s="1"/>
  <c r="AF295" i="20" s="1"/>
  <c r="AI292" i="20"/>
  <c r="AI291" i="20" s="1"/>
  <c r="AI290" i="20" s="1"/>
  <c r="AH292" i="20"/>
  <c r="AH291" i="20" s="1"/>
  <c r="AH290" i="20" s="1"/>
  <c r="AG292" i="20"/>
  <c r="AG291" i="20" s="1"/>
  <c r="AG290" i="20" s="1"/>
  <c r="AF292" i="20"/>
  <c r="AF291" i="20" s="1"/>
  <c r="AF290" i="20" s="1"/>
  <c r="AI282" i="20"/>
  <c r="AH282" i="20"/>
  <c r="AG282" i="20"/>
  <c r="AF282" i="20"/>
  <c r="AI279" i="20"/>
  <c r="AH279" i="20"/>
  <c r="AG279" i="20"/>
  <c r="AF279" i="20"/>
  <c r="AI271" i="20"/>
  <c r="AI270" i="20" s="1"/>
  <c r="AI269" i="20" s="1"/>
  <c r="AH271" i="20"/>
  <c r="AH270" i="20" s="1"/>
  <c r="AH269" i="20" s="1"/>
  <c r="AG271" i="20"/>
  <c r="AG270" i="20" s="1"/>
  <c r="AG269" i="20" s="1"/>
  <c r="AF271" i="20"/>
  <c r="AF270" i="20" s="1"/>
  <c r="AF269" i="20" s="1"/>
  <c r="AI266" i="20"/>
  <c r="AI265" i="20" s="1"/>
  <c r="AI264" i="20" s="1"/>
  <c r="AH266" i="20"/>
  <c r="AH265" i="20" s="1"/>
  <c r="AH264" i="20" s="1"/>
  <c r="AG266" i="20"/>
  <c r="AG265" i="20" s="1"/>
  <c r="AG264" i="20" s="1"/>
  <c r="AF266" i="20"/>
  <c r="AF265" i="20" s="1"/>
  <c r="AF264" i="20" s="1"/>
  <c r="AI262" i="20"/>
  <c r="AI261" i="20" s="1"/>
  <c r="AH262" i="20"/>
  <c r="AH261" i="20" s="1"/>
  <c r="AG262" i="20"/>
  <c r="AG261" i="20" s="1"/>
  <c r="AF262" i="20"/>
  <c r="AF261" i="20" s="1"/>
  <c r="AI259" i="20"/>
  <c r="AH259" i="20"/>
  <c r="AG259" i="20"/>
  <c r="AF259" i="20"/>
  <c r="AI254" i="20"/>
  <c r="AI253" i="20" s="1"/>
  <c r="AI252" i="20" s="1"/>
  <c r="AH254" i="20"/>
  <c r="AH253" i="20" s="1"/>
  <c r="AH252" i="20" s="1"/>
  <c r="AG254" i="20"/>
  <c r="AG253" i="20" s="1"/>
  <c r="AG252" i="20" s="1"/>
  <c r="AF254" i="20"/>
  <c r="AF253" i="20" s="1"/>
  <c r="AF252" i="20" s="1"/>
  <c r="AI246" i="20"/>
  <c r="AH246" i="20"/>
  <c r="AG246" i="20"/>
  <c r="AF246" i="20"/>
  <c r="AI240" i="20"/>
  <c r="AH240" i="20"/>
  <c r="AG240" i="20"/>
  <c r="AF240" i="20"/>
  <c r="AI232" i="20"/>
  <c r="AH232" i="20"/>
  <c r="AG232" i="20"/>
  <c r="AF232" i="20"/>
  <c r="AI227" i="20"/>
  <c r="AH227" i="20"/>
  <c r="AG227" i="20"/>
  <c r="AF227" i="20"/>
  <c r="AI224" i="20"/>
  <c r="AH224" i="20"/>
  <c r="AG224" i="20"/>
  <c r="AF224" i="20"/>
  <c r="AI221" i="20"/>
  <c r="AI220" i="20" s="1"/>
  <c r="AH221" i="20"/>
  <c r="AH220" i="20" s="1"/>
  <c r="AG221" i="20"/>
  <c r="AG220" i="20" s="1"/>
  <c r="AF221" i="20"/>
  <c r="AF220" i="20" s="1"/>
  <c r="AI218" i="20"/>
  <c r="AH218" i="20"/>
  <c r="AG218" i="20"/>
  <c r="AF218" i="20"/>
  <c r="AI215" i="20"/>
  <c r="AH215" i="20"/>
  <c r="AG215" i="20"/>
  <c r="AF215" i="20"/>
  <c r="AI211" i="20"/>
  <c r="AI210" i="20" s="1"/>
  <c r="AH211" i="20"/>
  <c r="AH210" i="20" s="1"/>
  <c r="AG211" i="20"/>
  <c r="AG210" i="20" s="1"/>
  <c r="AF211" i="20"/>
  <c r="AF210" i="20" s="1"/>
  <c r="AI208" i="20"/>
  <c r="AI207" i="20" s="1"/>
  <c r="AH208" i="20"/>
  <c r="AH207" i="20" s="1"/>
  <c r="AG208" i="20"/>
  <c r="AG207" i="20" s="1"/>
  <c r="AF208" i="20"/>
  <c r="AF207" i="20" s="1"/>
  <c r="AI205" i="20"/>
  <c r="AI204" i="20" s="1"/>
  <c r="AH205" i="20"/>
  <c r="AH204" i="20" s="1"/>
  <c r="AG205" i="20"/>
  <c r="AG204" i="20" s="1"/>
  <c r="AF205" i="20"/>
  <c r="AF204" i="20" s="1"/>
  <c r="AI198" i="20"/>
  <c r="AH198" i="20"/>
  <c r="AG198" i="20"/>
  <c r="AF198" i="20"/>
  <c r="AI196" i="20"/>
  <c r="AI195" i="20" s="1"/>
  <c r="AH196" i="20"/>
  <c r="AH195" i="20" s="1"/>
  <c r="AG196" i="20"/>
  <c r="AG195" i="20" s="1"/>
  <c r="AF196" i="20"/>
  <c r="AF195" i="20" s="1"/>
  <c r="AI192" i="20"/>
  <c r="AI191" i="20" s="1"/>
  <c r="AH192" i="20"/>
  <c r="AH191" i="20" s="1"/>
  <c r="AG192" i="20"/>
  <c r="AG191" i="20" s="1"/>
  <c r="AF192" i="20"/>
  <c r="AF191" i="20" s="1"/>
  <c r="AI189" i="20"/>
  <c r="AI188" i="20" s="1"/>
  <c r="AH189" i="20"/>
  <c r="AH188" i="20" s="1"/>
  <c r="AG189" i="20"/>
  <c r="AG188" i="20" s="1"/>
  <c r="AF189" i="20"/>
  <c r="AF188" i="20" s="1"/>
  <c r="AI185" i="20"/>
  <c r="AI184" i="20" s="1"/>
  <c r="AH185" i="20"/>
  <c r="AH184" i="20" s="1"/>
  <c r="AG185" i="20"/>
  <c r="AG184" i="20" s="1"/>
  <c r="AF185" i="20"/>
  <c r="AF184" i="20" s="1"/>
  <c r="AI178" i="20"/>
  <c r="AH178" i="20"/>
  <c r="AG178" i="20"/>
  <c r="AF178" i="20"/>
  <c r="AI175" i="20"/>
  <c r="AH175" i="20"/>
  <c r="AG175" i="20"/>
  <c r="AF175" i="20"/>
  <c r="AI173" i="20"/>
  <c r="AH173" i="20"/>
  <c r="AG173" i="20"/>
  <c r="AF173" i="20"/>
  <c r="AI169" i="20"/>
  <c r="AI168" i="20" s="1"/>
  <c r="AH169" i="20"/>
  <c r="AH168" i="20" s="1"/>
  <c r="AG169" i="20"/>
  <c r="AG168" i="20" s="1"/>
  <c r="AF169" i="20"/>
  <c r="AF168" i="20" s="1"/>
  <c r="AI166" i="20"/>
  <c r="AH166" i="20"/>
  <c r="AG166" i="20"/>
  <c r="AF166" i="20"/>
  <c r="AI163" i="20"/>
  <c r="AH163" i="20"/>
  <c r="AG163" i="20"/>
  <c r="AF163" i="20"/>
  <c r="AI160" i="20"/>
  <c r="AH160" i="20"/>
  <c r="AG160" i="20"/>
  <c r="AF160" i="20"/>
  <c r="AI153" i="20"/>
  <c r="AH153" i="20"/>
  <c r="AG153" i="20"/>
  <c r="AF153" i="20"/>
  <c r="AI151" i="20"/>
  <c r="AH151" i="20"/>
  <c r="AG151" i="20"/>
  <c r="AF151" i="20"/>
  <c r="AI124" i="20"/>
  <c r="AH124" i="20"/>
  <c r="AG124" i="20"/>
  <c r="AF124" i="20"/>
  <c r="AI117" i="20"/>
  <c r="AH117" i="20"/>
  <c r="AG117" i="20"/>
  <c r="AF117" i="20"/>
  <c r="AI114" i="20"/>
  <c r="AH114" i="20"/>
  <c r="AG114" i="20"/>
  <c r="AF114" i="20"/>
  <c r="AI112" i="20"/>
  <c r="AH112" i="20"/>
  <c r="AG112" i="20"/>
  <c r="AF112" i="20"/>
  <c r="AI107" i="20"/>
  <c r="AI106" i="20" s="1"/>
  <c r="AH107" i="20"/>
  <c r="AH106" i="20" s="1"/>
  <c r="AG107" i="20"/>
  <c r="AG106" i="20" s="1"/>
  <c r="AF107" i="20"/>
  <c r="AF106" i="20" s="1"/>
  <c r="AI103" i="20"/>
  <c r="AH103" i="20"/>
  <c r="AG103" i="20"/>
  <c r="AF103" i="20"/>
  <c r="AI95" i="20"/>
  <c r="AH95" i="20"/>
  <c r="AG95" i="20"/>
  <c r="AF95" i="20"/>
  <c r="AI93" i="20"/>
  <c r="AH93" i="20"/>
  <c r="AG93" i="20"/>
  <c r="AF93" i="20"/>
  <c r="AI86" i="20"/>
  <c r="AI85" i="20" s="1"/>
  <c r="AH86" i="20"/>
  <c r="AH85" i="20" s="1"/>
  <c r="AG86" i="20"/>
  <c r="AG85" i="20" s="1"/>
  <c r="AF86" i="20"/>
  <c r="AF85" i="20" s="1"/>
  <c r="AI82" i="20"/>
  <c r="AI81" i="20" s="1"/>
  <c r="AH82" i="20"/>
  <c r="AH81" i="20" s="1"/>
  <c r="AG82" i="20"/>
  <c r="AG81" i="20" s="1"/>
  <c r="AF82" i="20"/>
  <c r="AF81" i="20" s="1"/>
  <c r="AI79" i="20"/>
  <c r="AI78" i="20" s="1"/>
  <c r="AH79" i="20"/>
  <c r="AH78" i="20" s="1"/>
  <c r="AG79" i="20"/>
  <c r="AG78" i="20" s="1"/>
  <c r="AF79" i="20"/>
  <c r="AF78" i="20" s="1"/>
  <c r="AI76" i="20"/>
  <c r="AH76" i="20"/>
  <c r="AG76" i="20"/>
  <c r="AF76" i="20"/>
  <c r="AI73" i="20"/>
  <c r="AH73" i="20"/>
  <c r="AG73" i="20"/>
  <c r="AF73" i="20"/>
  <c r="AI71" i="20"/>
  <c r="AH71" i="20"/>
  <c r="AG71" i="20"/>
  <c r="AF71" i="20"/>
  <c r="AI67" i="20"/>
  <c r="AH67" i="20"/>
  <c r="AG67" i="20"/>
  <c r="AF67" i="20"/>
  <c r="AI65" i="20"/>
  <c r="AH65" i="20"/>
  <c r="AG65" i="20"/>
  <c r="AF65" i="20"/>
  <c r="AI63" i="20"/>
  <c r="AH63" i="20"/>
  <c r="AG63" i="20"/>
  <c r="AF63" i="20"/>
  <c r="AI60" i="20"/>
  <c r="AH60" i="20"/>
  <c r="AG60" i="20"/>
  <c r="AF60" i="20"/>
  <c r="AI58" i="20"/>
  <c r="AI57" i="20" s="1"/>
  <c r="AH58" i="20"/>
  <c r="AG58" i="20"/>
  <c r="AF58" i="20"/>
  <c r="AI55" i="20"/>
  <c r="AH55" i="20"/>
  <c r="AG55" i="20"/>
  <c r="AF55" i="20"/>
  <c r="AI53" i="20"/>
  <c r="AH53" i="20"/>
  <c r="AG53" i="20"/>
  <c r="AF53" i="20"/>
  <c r="AI50" i="20"/>
  <c r="AH50" i="20"/>
  <c r="AG50" i="20"/>
  <c r="AF50" i="20"/>
  <c r="AI47" i="20"/>
  <c r="AH47" i="20"/>
  <c r="AG47" i="20"/>
  <c r="AF47" i="20"/>
  <c r="AI42" i="20"/>
  <c r="AH42" i="20"/>
  <c r="AG42" i="20"/>
  <c r="AF42" i="20"/>
  <c r="AI38" i="20"/>
  <c r="AH38" i="20"/>
  <c r="AG38" i="20"/>
  <c r="AF38" i="20"/>
  <c r="AI36" i="20"/>
  <c r="AH36" i="20"/>
  <c r="AG36" i="20"/>
  <c r="AF36" i="20"/>
  <c r="AI34" i="20"/>
  <c r="AH34" i="20"/>
  <c r="AG34" i="20"/>
  <c r="AF34" i="20"/>
  <c r="AI30" i="20"/>
  <c r="AI29" i="20" s="1"/>
  <c r="AI28" i="20" s="1"/>
  <c r="AH30" i="20"/>
  <c r="AH29" i="20" s="1"/>
  <c r="AH28" i="20" s="1"/>
  <c r="AG30" i="20"/>
  <c r="AG29" i="20" s="1"/>
  <c r="AG28" i="20" s="1"/>
  <c r="AF30" i="20"/>
  <c r="AF29" i="20" s="1"/>
  <c r="AF28" i="20" s="1"/>
  <c r="AI24" i="20"/>
  <c r="AI23" i="20" s="1"/>
  <c r="AI22" i="20" s="1"/>
  <c r="AI21" i="20" s="1"/>
  <c r="AI20" i="20" s="1"/>
  <c r="AH24" i="20"/>
  <c r="AH23" i="20" s="1"/>
  <c r="AH22" i="20" s="1"/>
  <c r="AH21" i="20" s="1"/>
  <c r="AH20" i="20" s="1"/>
  <c r="AG24" i="20"/>
  <c r="AG23" i="20" s="1"/>
  <c r="AG22" i="20" s="1"/>
  <c r="AG21" i="20" s="1"/>
  <c r="AG20" i="20" s="1"/>
  <c r="AF24" i="20"/>
  <c r="AF23" i="20" s="1"/>
  <c r="AF22" i="20" s="1"/>
  <c r="AF21" i="20" s="1"/>
  <c r="AF20" i="20" s="1"/>
  <c r="AI16" i="20"/>
  <c r="AI15" i="20" s="1"/>
  <c r="AH16" i="20"/>
  <c r="AH15" i="20" s="1"/>
  <c r="AG16" i="20"/>
  <c r="AG15" i="20" s="1"/>
  <c r="AF16" i="20"/>
  <c r="AF15" i="20" s="1"/>
  <c r="AI12" i="20"/>
  <c r="AI11" i="20" s="1"/>
  <c r="AH12" i="20"/>
  <c r="AH11" i="20" s="1"/>
  <c r="AG12" i="20"/>
  <c r="AG11" i="20" s="1"/>
  <c r="AF12" i="20"/>
  <c r="AF11" i="20" s="1"/>
  <c r="AE363" i="20"/>
  <c r="AE362" i="20" s="1"/>
  <c r="AD363" i="20"/>
  <c r="AD362" i="20" s="1"/>
  <c r="AC363" i="20"/>
  <c r="AC362" i="20" s="1"/>
  <c r="AB363" i="20"/>
  <c r="AB362" i="20" s="1"/>
  <c r="AE323" i="20"/>
  <c r="AE322" i="20" s="1"/>
  <c r="AD323" i="20"/>
  <c r="AD322" i="20" s="1"/>
  <c r="AC323" i="20"/>
  <c r="AC322" i="20" s="1"/>
  <c r="AB323" i="20"/>
  <c r="AB322" i="20" s="1"/>
  <c r="AE317" i="20"/>
  <c r="AD317" i="20"/>
  <c r="AC317" i="20"/>
  <c r="AB317" i="20"/>
  <c r="AE314" i="20"/>
  <c r="AD314" i="20"/>
  <c r="AC314" i="20"/>
  <c r="AB314" i="20"/>
  <c r="AE312" i="20"/>
  <c r="AD312" i="20"/>
  <c r="AC312" i="20"/>
  <c r="AB312" i="20"/>
  <c r="AE310" i="20"/>
  <c r="AD310" i="20"/>
  <c r="AC310" i="20"/>
  <c r="AB310" i="20"/>
  <c r="AE308" i="20"/>
  <c r="AD308" i="20"/>
  <c r="AC308" i="20"/>
  <c r="AB308" i="20"/>
  <c r="AE303" i="20"/>
  <c r="AD303" i="20"/>
  <c r="AC303" i="20"/>
  <c r="AB303" i="20"/>
  <c r="AE300" i="20"/>
  <c r="AD300" i="20"/>
  <c r="AC300" i="20"/>
  <c r="AB300" i="20"/>
  <c r="AE297" i="20"/>
  <c r="AE296" i="20" s="1"/>
  <c r="AE295" i="20" s="1"/>
  <c r="AD297" i="20"/>
  <c r="AD296" i="20" s="1"/>
  <c r="AD295" i="20" s="1"/>
  <c r="AC297" i="20"/>
  <c r="AC296" i="20" s="1"/>
  <c r="AC295" i="20" s="1"/>
  <c r="AB297" i="20"/>
  <c r="AB296" i="20" s="1"/>
  <c r="AB295" i="20" s="1"/>
  <c r="AE292" i="20"/>
  <c r="AE291" i="20" s="1"/>
  <c r="AE290" i="20" s="1"/>
  <c r="AD292" i="20"/>
  <c r="AD291" i="20" s="1"/>
  <c r="AD290" i="20" s="1"/>
  <c r="AC292" i="20"/>
  <c r="AC291" i="20" s="1"/>
  <c r="AC290" i="20" s="1"/>
  <c r="AB292" i="20"/>
  <c r="AB291" i="20" s="1"/>
  <c r="AB290" i="20" s="1"/>
  <c r="AE282" i="20"/>
  <c r="AD282" i="20"/>
  <c r="AC282" i="20"/>
  <c r="AB282" i="20"/>
  <c r="AE279" i="20"/>
  <c r="AD279" i="20"/>
  <c r="AC279" i="20"/>
  <c r="AB279" i="20"/>
  <c r="AE271" i="20"/>
  <c r="AE270" i="20" s="1"/>
  <c r="AE269" i="20" s="1"/>
  <c r="AD271" i="20"/>
  <c r="AD270" i="20" s="1"/>
  <c r="AD269" i="20" s="1"/>
  <c r="AC271" i="20"/>
  <c r="AC270" i="20" s="1"/>
  <c r="AC269" i="20" s="1"/>
  <c r="AB271" i="20"/>
  <c r="AB270" i="20" s="1"/>
  <c r="AB269" i="20" s="1"/>
  <c r="AE266" i="20"/>
  <c r="AE265" i="20" s="1"/>
  <c r="AE264" i="20" s="1"/>
  <c r="AD266" i="20"/>
  <c r="AD265" i="20" s="1"/>
  <c r="AD264" i="20" s="1"/>
  <c r="AC266" i="20"/>
  <c r="AC265" i="20" s="1"/>
  <c r="AC264" i="20" s="1"/>
  <c r="AB266" i="20"/>
  <c r="AB265" i="20" s="1"/>
  <c r="AB264" i="20" s="1"/>
  <c r="AE262" i="20"/>
  <c r="AE261" i="20" s="1"/>
  <c r="AD262" i="20"/>
  <c r="AD261" i="20" s="1"/>
  <c r="AC262" i="20"/>
  <c r="AC261" i="20" s="1"/>
  <c r="AB262" i="20"/>
  <c r="AB261" i="20" s="1"/>
  <c r="AE259" i="20"/>
  <c r="AD259" i="20"/>
  <c r="AC259" i="20"/>
  <c r="AB259" i="20"/>
  <c r="AE254" i="20"/>
  <c r="AE253" i="20" s="1"/>
  <c r="AE252" i="20" s="1"/>
  <c r="AD254" i="20"/>
  <c r="AD253" i="20" s="1"/>
  <c r="AD252" i="20" s="1"/>
  <c r="AC254" i="20"/>
  <c r="AC253" i="20" s="1"/>
  <c r="AC252" i="20" s="1"/>
  <c r="AB254" i="20"/>
  <c r="AB253" i="20" s="1"/>
  <c r="AB252" i="20" s="1"/>
  <c r="AE246" i="20"/>
  <c r="AD246" i="20"/>
  <c r="AC246" i="20"/>
  <c r="AB246" i="20"/>
  <c r="AE240" i="20"/>
  <c r="AD240" i="20"/>
  <c r="AC240" i="20"/>
  <c r="AB240" i="20"/>
  <c r="AE232" i="20"/>
  <c r="AD232" i="20"/>
  <c r="AC232" i="20"/>
  <c r="AB232" i="20"/>
  <c r="AE227" i="20"/>
  <c r="AD227" i="20"/>
  <c r="AC227" i="20"/>
  <c r="AB227" i="20"/>
  <c r="AE224" i="20"/>
  <c r="AD224" i="20"/>
  <c r="AC224" i="20"/>
  <c r="AB224" i="20"/>
  <c r="AE221" i="20"/>
  <c r="AE220" i="20" s="1"/>
  <c r="AD221" i="20"/>
  <c r="AD220" i="20" s="1"/>
  <c r="AC221" i="20"/>
  <c r="AC220" i="20" s="1"/>
  <c r="AB221" i="20"/>
  <c r="AB220" i="20" s="1"/>
  <c r="AE218" i="20"/>
  <c r="AD218" i="20"/>
  <c r="AC218" i="20"/>
  <c r="AB218" i="20"/>
  <c r="AE215" i="20"/>
  <c r="AD215" i="20"/>
  <c r="AC215" i="20"/>
  <c r="AB215" i="20"/>
  <c r="AE211" i="20"/>
  <c r="AE210" i="20" s="1"/>
  <c r="AD211" i="20"/>
  <c r="AD210" i="20" s="1"/>
  <c r="AC211" i="20"/>
  <c r="AC210" i="20" s="1"/>
  <c r="AB211" i="20"/>
  <c r="AB210" i="20" s="1"/>
  <c r="AE208" i="20"/>
  <c r="AE207" i="20" s="1"/>
  <c r="AD208" i="20"/>
  <c r="AD207" i="20" s="1"/>
  <c r="AC208" i="20"/>
  <c r="AC207" i="20" s="1"/>
  <c r="AB208" i="20"/>
  <c r="AB207" i="20" s="1"/>
  <c r="AE205" i="20"/>
  <c r="AE204" i="20" s="1"/>
  <c r="AD205" i="20"/>
  <c r="AD204" i="20" s="1"/>
  <c r="AC205" i="20"/>
  <c r="AC204" i="20" s="1"/>
  <c r="AB205" i="20"/>
  <c r="AB204" i="20" s="1"/>
  <c r="AE198" i="20"/>
  <c r="AD198" i="20"/>
  <c r="AC198" i="20"/>
  <c r="AB198" i="20"/>
  <c r="AE196" i="20"/>
  <c r="AE195" i="20" s="1"/>
  <c r="AD196" i="20"/>
  <c r="AD195" i="20" s="1"/>
  <c r="AC196" i="20"/>
  <c r="AC195" i="20" s="1"/>
  <c r="AB196" i="20"/>
  <c r="AB195" i="20" s="1"/>
  <c r="AE192" i="20"/>
  <c r="AE191" i="20" s="1"/>
  <c r="AD192" i="20"/>
  <c r="AD191" i="20" s="1"/>
  <c r="AC192" i="20"/>
  <c r="AC191" i="20" s="1"/>
  <c r="AB192" i="20"/>
  <c r="AB191" i="20" s="1"/>
  <c r="AE189" i="20"/>
  <c r="AE188" i="20" s="1"/>
  <c r="AD189" i="20"/>
  <c r="AD188" i="20" s="1"/>
  <c r="AC189" i="20"/>
  <c r="AC188" i="20" s="1"/>
  <c r="AB189" i="20"/>
  <c r="AB188" i="20" s="1"/>
  <c r="AE185" i="20"/>
  <c r="AE184" i="20" s="1"/>
  <c r="AD185" i="20"/>
  <c r="AD184" i="20" s="1"/>
  <c r="AC185" i="20"/>
  <c r="AC184" i="20" s="1"/>
  <c r="AB185" i="20"/>
  <c r="AB184" i="20" s="1"/>
  <c r="AE178" i="20"/>
  <c r="AD178" i="20"/>
  <c r="AC178" i="20"/>
  <c r="AB178" i="20"/>
  <c r="AE175" i="20"/>
  <c r="AD175" i="20"/>
  <c r="AC175" i="20"/>
  <c r="AB175" i="20"/>
  <c r="AE173" i="20"/>
  <c r="AD173" i="20"/>
  <c r="AC173" i="20"/>
  <c r="AB173" i="20"/>
  <c r="AE169" i="20"/>
  <c r="AE168" i="20" s="1"/>
  <c r="AD169" i="20"/>
  <c r="AD168" i="20" s="1"/>
  <c r="AC169" i="20"/>
  <c r="AC168" i="20" s="1"/>
  <c r="AB169" i="20"/>
  <c r="AB168" i="20" s="1"/>
  <c r="AE166" i="20"/>
  <c r="AD166" i="20"/>
  <c r="AC166" i="20"/>
  <c r="AB166" i="20"/>
  <c r="AE163" i="20"/>
  <c r="AD163" i="20"/>
  <c r="AC163" i="20"/>
  <c r="AB163" i="20"/>
  <c r="AE160" i="20"/>
  <c r="AD160" i="20"/>
  <c r="AC160" i="20"/>
  <c r="AB160" i="20"/>
  <c r="AE153" i="20"/>
  <c r="AD153" i="20"/>
  <c r="AC153" i="20"/>
  <c r="AB153" i="20"/>
  <c r="AE151" i="20"/>
  <c r="AD151" i="20"/>
  <c r="AC151" i="20"/>
  <c r="AB151" i="20"/>
  <c r="AE124" i="20"/>
  <c r="AD124" i="20"/>
  <c r="AC124" i="20"/>
  <c r="AB124" i="20"/>
  <c r="AE117" i="20"/>
  <c r="AD117" i="20"/>
  <c r="AC117" i="20"/>
  <c r="AB117" i="20"/>
  <c r="AE114" i="20"/>
  <c r="AD114" i="20"/>
  <c r="AC114" i="20"/>
  <c r="AB114" i="20"/>
  <c r="AE112" i="20"/>
  <c r="AD112" i="20"/>
  <c r="AC112" i="20"/>
  <c r="AB112" i="20"/>
  <c r="AE107" i="20"/>
  <c r="AE106" i="20" s="1"/>
  <c r="AD107" i="20"/>
  <c r="AD106" i="20" s="1"/>
  <c r="AC107" i="20"/>
  <c r="AC106" i="20" s="1"/>
  <c r="AB107" i="20"/>
  <c r="AB106" i="20" s="1"/>
  <c r="AE103" i="20"/>
  <c r="AD103" i="20"/>
  <c r="AC103" i="20"/>
  <c r="AB103" i="20"/>
  <c r="AE95" i="20"/>
  <c r="AD95" i="20"/>
  <c r="AC95" i="20"/>
  <c r="AB95" i="20"/>
  <c r="AE93" i="20"/>
  <c r="AD93" i="20"/>
  <c r="AC93" i="20"/>
  <c r="AB93" i="20"/>
  <c r="AE86" i="20"/>
  <c r="AE85" i="20" s="1"/>
  <c r="AD86" i="20"/>
  <c r="AD85" i="20" s="1"/>
  <c r="AC86" i="20"/>
  <c r="AC85" i="20" s="1"/>
  <c r="AB86" i="20"/>
  <c r="AB85" i="20" s="1"/>
  <c r="AE82" i="20"/>
  <c r="AE81" i="20" s="1"/>
  <c r="AD82" i="20"/>
  <c r="AD81" i="20" s="1"/>
  <c r="AC82" i="20"/>
  <c r="AC81" i="20" s="1"/>
  <c r="AB82" i="20"/>
  <c r="AB81" i="20" s="1"/>
  <c r="AE79" i="20"/>
  <c r="AE78" i="20" s="1"/>
  <c r="AD79" i="20"/>
  <c r="AD78" i="20" s="1"/>
  <c r="AC79" i="20"/>
  <c r="AC78" i="20" s="1"/>
  <c r="AB79" i="20"/>
  <c r="AB78" i="20" s="1"/>
  <c r="AE76" i="20"/>
  <c r="AD76" i="20"/>
  <c r="AC76" i="20"/>
  <c r="AB76" i="20"/>
  <c r="AE73" i="20"/>
  <c r="AD73" i="20"/>
  <c r="AC73" i="20"/>
  <c r="AB73" i="20"/>
  <c r="AE71" i="20"/>
  <c r="AD71" i="20"/>
  <c r="AC71" i="20"/>
  <c r="AB71" i="20"/>
  <c r="AE67" i="20"/>
  <c r="AD67" i="20"/>
  <c r="AC67" i="20"/>
  <c r="AB67" i="20"/>
  <c r="AE65" i="20"/>
  <c r="AD65" i="20"/>
  <c r="AC65" i="20"/>
  <c r="AB65" i="20"/>
  <c r="AE63" i="20"/>
  <c r="AD63" i="20"/>
  <c r="AC63" i="20"/>
  <c r="AB63" i="20"/>
  <c r="AE60" i="20"/>
  <c r="AD60" i="20"/>
  <c r="AC60" i="20"/>
  <c r="AB60" i="20"/>
  <c r="AE58" i="20"/>
  <c r="AD58" i="20"/>
  <c r="AC58" i="20"/>
  <c r="AB58" i="20"/>
  <c r="AE55" i="20"/>
  <c r="AD55" i="20"/>
  <c r="AC55" i="20"/>
  <c r="AB55" i="20"/>
  <c r="AE53" i="20"/>
  <c r="AD53" i="20"/>
  <c r="AC53" i="20"/>
  <c r="AB53" i="20"/>
  <c r="AE50" i="20"/>
  <c r="AD50" i="20"/>
  <c r="AC50" i="20"/>
  <c r="AB50" i="20"/>
  <c r="AE47" i="20"/>
  <c r="AD47" i="20"/>
  <c r="AC47" i="20"/>
  <c r="AB47" i="20"/>
  <c r="AE42" i="20"/>
  <c r="AD42" i="20"/>
  <c r="AC42" i="20"/>
  <c r="AB42" i="20"/>
  <c r="AE38" i="20"/>
  <c r="AD38" i="20"/>
  <c r="AC38" i="20"/>
  <c r="AB38" i="20"/>
  <c r="AE36" i="20"/>
  <c r="AD36" i="20"/>
  <c r="AC36" i="20"/>
  <c r="AB36" i="20"/>
  <c r="AE34" i="20"/>
  <c r="AD34" i="20"/>
  <c r="AC34" i="20"/>
  <c r="AB34" i="20"/>
  <c r="AE30" i="20"/>
  <c r="AE29" i="20" s="1"/>
  <c r="AE28" i="20" s="1"/>
  <c r="AD30" i="20"/>
  <c r="AD29" i="20" s="1"/>
  <c r="AD28" i="20" s="1"/>
  <c r="AC30" i="20"/>
  <c r="AC29" i="20" s="1"/>
  <c r="AC28" i="20" s="1"/>
  <c r="AB30" i="20"/>
  <c r="AB29" i="20" s="1"/>
  <c r="AB28" i="20" s="1"/>
  <c r="AE24" i="20"/>
  <c r="AE23" i="20" s="1"/>
  <c r="AE22" i="20" s="1"/>
  <c r="AE21" i="20" s="1"/>
  <c r="AE20" i="20" s="1"/>
  <c r="AD24" i="20"/>
  <c r="AD23" i="20" s="1"/>
  <c r="AD22" i="20" s="1"/>
  <c r="AD21" i="20" s="1"/>
  <c r="AD20" i="20" s="1"/>
  <c r="AC24" i="20"/>
  <c r="AC23" i="20" s="1"/>
  <c r="AC22" i="20" s="1"/>
  <c r="AC21" i="20" s="1"/>
  <c r="AC20" i="20" s="1"/>
  <c r="AB24" i="20"/>
  <c r="AB23" i="20" s="1"/>
  <c r="AB22" i="20" s="1"/>
  <c r="AB21" i="20" s="1"/>
  <c r="AB20" i="20" s="1"/>
  <c r="AE16" i="20"/>
  <c r="AE15" i="20" s="1"/>
  <c r="AD16" i="20"/>
  <c r="AD15" i="20" s="1"/>
  <c r="AC16" i="20"/>
  <c r="AB16" i="20"/>
  <c r="AB15" i="20" s="1"/>
  <c r="AE12" i="20"/>
  <c r="AE11" i="20" s="1"/>
  <c r="AD12" i="20"/>
  <c r="AD11" i="20" s="1"/>
  <c r="AC12" i="20"/>
  <c r="AC11" i="20" s="1"/>
  <c r="AB12" i="20"/>
  <c r="AB11" i="20" s="1"/>
  <c r="AA363" i="20"/>
  <c r="AA362" i="20" s="1"/>
  <c r="Z363" i="20"/>
  <c r="Z362" i="20" s="1"/>
  <c r="AA323" i="20"/>
  <c r="AA322" i="20" s="1"/>
  <c r="Z323" i="20"/>
  <c r="Z322" i="20" s="1"/>
  <c r="AA317" i="20"/>
  <c r="Z317" i="20"/>
  <c r="AA314" i="20"/>
  <c r="Z314" i="20"/>
  <c r="AA312" i="20"/>
  <c r="Z312" i="20"/>
  <c r="AA310" i="20"/>
  <c r="Z310" i="20"/>
  <c r="AA308" i="20"/>
  <c r="Z308" i="20"/>
  <c r="AA303" i="20"/>
  <c r="Z303" i="20"/>
  <c r="AA300" i="20"/>
  <c r="Z300" i="20"/>
  <c r="AA297" i="20"/>
  <c r="AA296" i="20" s="1"/>
  <c r="AA295" i="20" s="1"/>
  <c r="Z297" i="20"/>
  <c r="Z296" i="20" s="1"/>
  <c r="Z295" i="20" s="1"/>
  <c r="AA292" i="20"/>
  <c r="AA291" i="20" s="1"/>
  <c r="AA290" i="20" s="1"/>
  <c r="Z292" i="20"/>
  <c r="Z291" i="20" s="1"/>
  <c r="Z290" i="20" s="1"/>
  <c r="AA282" i="20"/>
  <c r="Z282" i="20"/>
  <c r="AA279" i="20"/>
  <c r="Z279" i="20"/>
  <c r="AA271" i="20"/>
  <c r="AA270" i="20" s="1"/>
  <c r="AA269" i="20" s="1"/>
  <c r="Z271" i="20"/>
  <c r="Z270" i="20" s="1"/>
  <c r="Z269" i="20" s="1"/>
  <c r="AA266" i="20"/>
  <c r="AA265" i="20" s="1"/>
  <c r="AA264" i="20" s="1"/>
  <c r="Z266" i="20"/>
  <c r="Z265" i="20" s="1"/>
  <c r="Z264" i="20" s="1"/>
  <c r="AA262" i="20"/>
  <c r="AA261" i="20" s="1"/>
  <c r="Z262" i="20"/>
  <c r="Z261" i="20" s="1"/>
  <c r="AA259" i="20"/>
  <c r="Z259" i="20"/>
  <c r="AA254" i="20"/>
  <c r="AA253" i="20" s="1"/>
  <c r="AA252" i="20" s="1"/>
  <c r="Z254" i="20"/>
  <c r="Z253" i="20" s="1"/>
  <c r="Z252" i="20" s="1"/>
  <c r="AA246" i="20"/>
  <c r="Z246" i="20"/>
  <c r="AA240" i="20"/>
  <c r="Z240" i="20"/>
  <c r="AA232" i="20"/>
  <c r="Z232" i="20"/>
  <c r="AA227" i="20"/>
  <c r="Z227" i="20"/>
  <c r="AA224" i="20"/>
  <c r="Z224" i="20"/>
  <c r="AA221" i="20"/>
  <c r="AA220" i="20" s="1"/>
  <c r="Z221" i="20"/>
  <c r="Z220" i="20" s="1"/>
  <c r="AA218" i="20"/>
  <c r="Z218" i="20"/>
  <c r="AA215" i="20"/>
  <c r="Z215" i="20"/>
  <c r="AA211" i="20"/>
  <c r="AA210" i="20" s="1"/>
  <c r="Z211" i="20"/>
  <c r="Z210" i="20" s="1"/>
  <c r="AA208" i="20"/>
  <c r="AA207" i="20" s="1"/>
  <c r="Z208" i="20"/>
  <c r="Z207" i="20" s="1"/>
  <c r="AA205" i="20"/>
  <c r="AA204" i="20" s="1"/>
  <c r="Z205" i="20"/>
  <c r="Z204" i="20" s="1"/>
  <c r="AA198" i="20"/>
  <c r="Z198" i="20"/>
  <c r="AA196" i="20"/>
  <c r="AA195" i="20" s="1"/>
  <c r="Z196" i="20"/>
  <c r="Z195" i="20" s="1"/>
  <c r="AA192" i="20"/>
  <c r="AA191" i="20" s="1"/>
  <c r="Z192" i="20"/>
  <c r="Z191" i="20" s="1"/>
  <c r="AA189" i="20"/>
  <c r="AA188" i="20" s="1"/>
  <c r="Z189" i="20"/>
  <c r="Z188" i="20" s="1"/>
  <c r="AA185" i="20"/>
  <c r="AA184" i="20" s="1"/>
  <c r="Z185" i="20"/>
  <c r="Z184" i="20" s="1"/>
  <c r="AA178" i="20"/>
  <c r="Z178" i="20"/>
  <c r="AA175" i="20"/>
  <c r="Z175" i="20"/>
  <c r="AA173" i="20"/>
  <c r="Z173" i="20"/>
  <c r="AA169" i="20"/>
  <c r="AA168" i="20" s="1"/>
  <c r="Z169" i="20"/>
  <c r="Z168" i="20" s="1"/>
  <c r="AA166" i="20"/>
  <c r="Z166" i="20"/>
  <c r="AA163" i="20"/>
  <c r="Z163" i="20"/>
  <c r="AA160" i="20"/>
  <c r="Z160" i="20"/>
  <c r="AA153" i="20"/>
  <c r="Z153" i="20"/>
  <c r="AA151" i="20"/>
  <c r="Z151" i="20"/>
  <c r="AA124" i="20"/>
  <c r="Z124" i="20"/>
  <c r="AA117" i="20"/>
  <c r="Z117" i="20"/>
  <c r="AA114" i="20"/>
  <c r="Z114" i="20"/>
  <c r="AA112" i="20"/>
  <c r="Z112" i="20"/>
  <c r="AA107" i="20"/>
  <c r="AA106" i="20" s="1"/>
  <c r="Z107" i="20"/>
  <c r="Z106" i="20" s="1"/>
  <c r="AA103" i="20"/>
  <c r="Z103" i="20"/>
  <c r="AA95" i="20"/>
  <c r="Z95" i="20"/>
  <c r="AA93" i="20"/>
  <c r="Z93" i="20"/>
  <c r="AA86" i="20"/>
  <c r="AA85" i="20" s="1"/>
  <c r="Z86" i="20"/>
  <c r="Z85" i="20" s="1"/>
  <c r="AA82" i="20"/>
  <c r="AA81" i="20" s="1"/>
  <c r="Z82" i="20"/>
  <c r="Z81" i="20" s="1"/>
  <c r="AA79" i="20"/>
  <c r="AA78" i="20" s="1"/>
  <c r="Z79" i="20"/>
  <c r="Z78" i="20" s="1"/>
  <c r="AA76" i="20"/>
  <c r="Z76" i="20"/>
  <c r="AA73" i="20"/>
  <c r="Z73" i="20"/>
  <c r="AA71" i="20"/>
  <c r="Z71" i="20"/>
  <c r="AA67" i="20"/>
  <c r="Z67" i="20"/>
  <c r="AA65" i="20"/>
  <c r="Z65" i="20"/>
  <c r="AA63" i="20"/>
  <c r="Z63" i="20"/>
  <c r="AA60" i="20"/>
  <c r="Z60" i="20"/>
  <c r="AA58" i="20"/>
  <c r="Z58" i="20"/>
  <c r="AA55" i="20"/>
  <c r="Z55" i="20"/>
  <c r="AA53" i="20"/>
  <c r="Z53" i="20"/>
  <c r="AA50" i="20"/>
  <c r="Z50" i="20"/>
  <c r="AA47" i="20"/>
  <c r="Z47" i="20"/>
  <c r="AA42" i="20"/>
  <c r="Z42" i="20"/>
  <c r="AA38" i="20"/>
  <c r="Z38" i="20"/>
  <c r="AA36" i="20"/>
  <c r="Z36" i="20"/>
  <c r="AA34" i="20"/>
  <c r="Z34" i="20"/>
  <c r="AA30" i="20"/>
  <c r="AA29" i="20" s="1"/>
  <c r="AA28" i="20" s="1"/>
  <c r="Z30" i="20"/>
  <c r="Z29" i="20" s="1"/>
  <c r="Z28" i="20" s="1"/>
  <c r="AA24" i="20"/>
  <c r="AA23" i="20" s="1"/>
  <c r="AA22" i="20" s="1"/>
  <c r="AA21" i="20" s="1"/>
  <c r="AA20" i="20" s="1"/>
  <c r="Z24" i="20"/>
  <c r="Z23" i="20" s="1"/>
  <c r="Z22" i="20" s="1"/>
  <c r="Z21" i="20" s="1"/>
  <c r="Z20" i="20" s="1"/>
  <c r="AA16" i="20"/>
  <c r="AA15" i="20" s="1"/>
  <c r="Z16" i="20"/>
  <c r="Z15" i="20" s="1"/>
  <c r="AA12" i="20"/>
  <c r="AA11" i="20" s="1"/>
  <c r="Z12" i="20"/>
  <c r="Z11" i="20" s="1"/>
  <c r="Y363" i="20"/>
  <c r="Y362" i="20" s="1"/>
  <c r="Y323" i="20"/>
  <c r="Y322" i="20" s="1"/>
  <c r="Y317" i="20"/>
  <c r="Y314" i="20"/>
  <c r="Y312" i="20"/>
  <c r="Y310" i="20"/>
  <c r="Y308" i="20"/>
  <c r="Y303" i="20"/>
  <c r="Y300" i="20"/>
  <c r="Y297" i="20"/>
  <c r="Y296" i="20" s="1"/>
  <c r="Y295" i="20" s="1"/>
  <c r="Y292" i="20"/>
  <c r="Y291" i="20" s="1"/>
  <c r="Y290" i="20" s="1"/>
  <c r="Y282" i="20"/>
  <c r="Y279" i="20"/>
  <c r="Y271" i="20"/>
  <c r="Y270" i="20" s="1"/>
  <c r="Y269" i="20" s="1"/>
  <c r="Y266" i="20"/>
  <c r="Y265" i="20" s="1"/>
  <c r="Y264" i="20" s="1"/>
  <c r="Y262" i="20"/>
  <c r="Y261" i="20" s="1"/>
  <c r="Y259" i="20"/>
  <c r="Y254" i="20"/>
  <c r="Y253" i="20" s="1"/>
  <c r="Y252" i="20" s="1"/>
  <c r="Y246" i="20"/>
  <c r="Y240" i="20"/>
  <c r="Y232" i="20"/>
  <c r="Y227" i="20"/>
  <c r="Y224" i="20"/>
  <c r="Y221" i="20"/>
  <c r="Y220" i="20" s="1"/>
  <c r="Y218" i="20"/>
  <c r="Y215" i="20"/>
  <c r="Y211" i="20"/>
  <c r="Y210" i="20" s="1"/>
  <c r="Y208" i="20"/>
  <c r="Y207" i="20" s="1"/>
  <c r="Y205" i="20"/>
  <c r="Y204" i="20" s="1"/>
  <c r="Y198" i="20"/>
  <c r="Y196" i="20"/>
  <c r="Y195" i="20" s="1"/>
  <c r="Y192" i="20"/>
  <c r="Y191" i="20" s="1"/>
  <c r="Y189" i="20"/>
  <c r="Y188" i="20" s="1"/>
  <c r="Y185" i="20"/>
  <c r="Y184" i="20" s="1"/>
  <c r="Y178" i="20"/>
  <c r="Y175" i="20"/>
  <c r="Y173" i="20"/>
  <c r="Y169" i="20"/>
  <c r="Y168" i="20" s="1"/>
  <c r="Y166" i="20"/>
  <c r="Y163" i="20"/>
  <c r="Y160" i="20"/>
  <c r="Y153" i="20"/>
  <c r="Y151" i="20"/>
  <c r="Y124" i="20"/>
  <c r="Y117" i="20"/>
  <c r="Y114" i="20"/>
  <c r="Y112" i="20"/>
  <c r="Y107" i="20"/>
  <c r="Y106" i="20" s="1"/>
  <c r="Y103" i="20"/>
  <c r="Y95" i="20"/>
  <c r="Y93" i="20"/>
  <c r="Y86" i="20"/>
  <c r="Y85" i="20" s="1"/>
  <c r="Y82" i="20"/>
  <c r="Y81" i="20" s="1"/>
  <c r="Y79" i="20"/>
  <c r="Y78" i="20" s="1"/>
  <c r="Y76" i="20"/>
  <c r="Y73" i="20"/>
  <c r="Y71" i="20"/>
  <c r="Y67" i="20"/>
  <c r="Y65" i="20"/>
  <c r="Y63" i="20"/>
  <c r="Y60" i="20"/>
  <c r="Y58" i="20"/>
  <c r="Y55" i="20"/>
  <c r="Y53" i="20"/>
  <c r="Y50" i="20"/>
  <c r="Y47" i="20"/>
  <c r="Y42" i="20"/>
  <c r="Y38" i="20"/>
  <c r="Y36" i="20"/>
  <c r="Y34" i="20"/>
  <c r="Y30" i="20"/>
  <c r="Y29" i="20" s="1"/>
  <c r="Y28" i="20" s="1"/>
  <c r="Y24" i="20"/>
  <c r="Y23" i="20" s="1"/>
  <c r="Y22" i="20" s="1"/>
  <c r="Y21" i="20" s="1"/>
  <c r="Y20" i="20" s="1"/>
  <c r="Y16" i="20"/>
  <c r="Y15" i="20" s="1"/>
  <c r="Y12" i="20"/>
  <c r="Y11" i="20" s="1"/>
  <c r="X363" i="20"/>
  <c r="X362" i="20" s="1"/>
  <c r="X323" i="20"/>
  <c r="X322" i="20" s="1"/>
  <c r="X317" i="20"/>
  <c r="X314" i="20"/>
  <c r="X312" i="20"/>
  <c r="X310" i="20"/>
  <c r="X308" i="20"/>
  <c r="X303" i="20"/>
  <c r="X300" i="20"/>
  <c r="X297" i="20"/>
  <c r="X296" i="20" s="1"/>
  <c r="X295" i="20" s="1"/>
  <c r="X292" i="20"/>
  <c r="X291" i="20" s="1"/>
  <c r="X290" i="20" s="1"/>
  <c r="X282" i="20"/>
  <c r="X279" i="20"/>
  <c r="X271" i="20"/>
  <c r="X270" i="20" s="1"/>
  <c r="X269" i="20" s="1"/>
  <c r="X266" i="20"/>
  <c r="X265" i="20" s="1"/>
  <c r="X264" i="20" s="1"/>
  <c r="X262" i="20"/>
  <c r="X261" i="20" s="1"/>
  <c r="X259" i="20"/>
  <c r="X254" i="20"/>
  <c r="X253" i="20" s="1"/>
  <c r="X252" i="20" s="1"/>
  <c r="X246" i="20"/>
  <c r="X240" i="20"/>
  <c r="X232" i="20"/>
  <c r="X227" i="20"/>
  <c r="X224" i="20"/>
  <c r="X221" i="20"/>
  <c r="X220" i="20" s="1"/>
  <c r="X218" i="20"/>
  <c r="X215" i="20"/>
  <c r="X211" i="20"/>
  <c r="X210" i="20" s="1"/>
  <c r="X208" i="20"/>
  <c r="X207" i="20" s="1"/>
  <c r="X205" i="20"/>
  <c r="X204" i="20" s="1"/>
  <c r="X198" i="20"/>
  <c r="X196" i="20"/>
  <c r="X195" i="20" s="1"/>
  <c r="X192" i="20"/>
  <c r="X191" i="20" s="1"/>
  <c r="X189" i="20"/>
  <c r="X188" i="20" s="1"/>
  <c r="X185" i="20"/>
  <c r="X184" i="20" s="1"/>
  <c r="X178" i="20"/>
  <c r="X175" i="20"/>
  <c r="X173" i="20"/>
  <c r="X169" i="20"/>
  <c r="X168" i="20" s="1"/>
  <c r="X166" i="20"/>
  <c r="X163" i="20"/>
  <c r="X160" i="20"/>
  <c r="X153" i="20"/>
  <c r="X151" i="20"/>
  <c r="X124" i="20"/>
  <c r="X117" i="20"/>
  <c r="X114" i="20"/>
  <c r="X112" i="20"/>
  <c r="X107" i="20"/>
  <c r="X106" i="20" s="1"/>
  <c r="X103" i="20"/>
  <c r="X95" i="20"/>
  <c r="X93" i="20"/>
  <c r="X86" i="20"/>
  <c r="X85" i="20" s="1"/>
  <c r="X82" i="20"/>
  <c r="X81" i="20" s="1"/>
  <c r="X79" i="20"/>
  <c r="X78" i="20" s="1"/>
  <c r="X76" i="20"/>
  <c r="X73" i="20"/>
  <c r="X71" i="20"/>
  <c r="X67" i="20"/>
  <c r="X65" i="20"/>
  <c r="X63" i="20"/>
  <c r="X60" i="20"/>
  <c r="X58" i="20"/>
  <c r="X55" i="20"/>
  <c r="X53" i="20"/>
  <c r="X50" i="20"/>
  <c r="X47" i="20"/>
  <c r="X42" i="20"/>
  <c r="X38" i="20"/>
  <c r="X36" i="20"/>
  <c r="X34" i="20"/>
  <c r="X30" i="20"/>
  <c r="X29" i="20" s="1"/>
  <c r="X28" i="20" s="1"/>
  <c r="X24" i="20"/>
  <c r="X23" i="20" s="1"/>
  <c r="X22" i="20" s="1"/>
  <c r="X21" i="20" s="1"/>
  <c r="X20" i="20" s="1"/>
  <c r="X16" i="20"/>
  <c r="X15" i="20" s="1"/>
  <c r="X12" i="20"/>
  <c r="X11" i="20" s="1"/>
  <c r="AD307" i="20" l="1"/>
  <c r="AD306" i="20" s="1"/>
  <c r="AD305" i="20" s="1"/>
  <c r="AH98" i="20"/>
  <c r="AH307" i="20"/>
  <c r="AH306" i="20" s="1"/>
  <c r="AH305" i="20" s="1"/>
  <c r="Z70" i="20"/>
  <c r="AE278" i="20"/>
  <c r="AE268" i="20" s="1"/>
  <c r="AH57" i="20"/>
  <c r="AH111" i="20"/>
  <c r="AH110" i="20" s="1"/>
  <c r="AH109" i="20" s="1"/>
  <c r="AC159" i="20"/>
  <c r="AF33" i="20"/>
  <c r="AF32" i="20" s="1"/>
  <c r="AF278" i="20"/>
  <c r="AF268" i="20" s="1"/>
  <c r="AB223" i="20"/>
  <c r="AI33" i="20"/>
  <c r="AI32" i="20" s="1"/>
  <c r="AD98" i="20"/>
  <c r="AD231" i="20"/>
  <c r="AD230" i="20" s="1"/>
  <c r="AB111" i="20"/>
  <c r="AB110" i="20" s="1"/>
  <c r="AB109" i="20" s="1"/>
  <c r="AE214" i="20"/>
  <c r="AE203" i="20" s="1"/>
  <c r="AE223" i="20"/>
  <c r="AH33" i="20"/>
  <c r="AH32" i="20" s="1"/>
  <c r="AH52" i="20"/>
  <c r="AE172" i="20"/>
  <c r="AE171" i="20" s="1"/>
  <c r="AC98" i="20"/>
  <c r="AE98" i="20"/>
  <c r="AG92" i="20"/>
  <c r="AA223" i="20"/>
  <c r="Z62" i="20"/>
  <c r="Y46" i="20"/>
  <c r="AC231" i="20"/>
  <c r="AC230" i="20" s="1"/>
  <c r="AH223" i="20"/>
  <c r="AE111" i="20"/>
  <c r="AE110" i="20" s="1"/>
  <c r="AE109" i="20" s="1"/>
  <c r="AI92" i="20"/>
  <c r="AI75" i="20" s="1"/>
  <c r="AH278" i="20"/>
  <c r="AH268" i="20" s="1"/>
  <c r="Y70" i="20"/>
  <c r="AH159" i="20"/>
  <c r="AC214" i="20"/>
  <c r="AC203" i="20" s="1"/>
  <c r="AD214" i="20"/>
  <c r="AD203" i="20" s="1"/>
  <c r="AC223" i="20"/>
  <c r="Z10" i="20"/>
  <c r="Z9" i="20" s="1"/>
  <c r="Z8" i="20" s="1"/>
  <c r="Z57" i="20"/>
  <c r="AD223" i="20"/>
  <c r="Y223" i="20"/>
  <c r="AG57" i="20"/>
  <c r="AC92" i="20"/>
  <c r="AI46" i="20"/>
  <c r="AH165" i="20"/>
  <c r="AD92" i="20"/>
  <c r="AD75" i="20" s="1"/>
  <c r="AE70" i="20"/>
  <c r="AE92" i="20"/>
  <c r="AE75" i="20" s="1"/>
  <c r="AG33" i="20"/>
  <c r="AG32" i="20" s="1"/>
  <c r="AG52" i="20"/>
  <c r="AG172" i="20"/>
  <c r="AG171" i="20" s="1"/>
  <c r="AI278" i="20"/>
  <c r="AI268" i="20" s="1"/>
  <c r="Y52" i="20"/>
  <c r="AI52" i="20"/>
  <c r="AG223" i="20"/>
  <c r="Y57" i="20"/>
  <c r="AI172" i="20"/>
  <c r="AI171" i="20" s="1"/>
  <c r="Z165" i="20"/>
  <c r="Z223" i="20"/>
  <c r="AE10" i="20"/>
  <c r="AE9" i="20" s="1"/>
  <c r="AE8" i="20" s="1"/>
  <c r="AA70" i="20"/>
  <c r="AA165" i="20"/>
  <c r="AD278" i="20"/>
  <c r="AD268" i="20" s="1"/>
  <c r="AF172" i="20"/>
  <c r="AF171" i="20" s="1"/>
  <c r="AA299" i="20"/>
  <c r="AC57" i="20"/>
  <c r="AC165" i="20"/>
  <c r="AE321" i="20"/>
  <c r="AE320" i="20" s="1"/>
  <c r="AE319" i="20" s="1"/>
  <c r="AD33" i="20"/>
  <c r="AD32" i="20" s="1"/>
  <c r="AD52" i="20"/>
  <c r="AD62" i="20"/>
  <c r="AD123" i="20"/>
  <c r="AD122" i="20" s="1"/>
  <c r="AD159" i="20"/>
  <c r="AD165" i="20"/>
  <c r="AH172" i="20"/>
  <c r="AH171" i="20" s="1"/>
  <c r="AA62" i="20"/>
  <c r="AE33" i="20"/>
  <c r="AE32" i="20" s="1"/>
  <c r="AE52" i="20"/>
  <c r="AE123" i="20"/>
  <c r="AE122" i="20" s="1"/>
  <c r="AE165" i="20"/>
  <c r="X223" i="20"/>
  <c r="AE307" i="20"/>
  <c r="AE306" i="20" s="1"/>
  <c r="AE305" i="20" s="1"/>
  <c r="AH70" i="20"/>
  <c r="AF92" i="20"/>
  <c r="AF75" i="20" s="1"/>
  <c r="AF165" i="20"/>
  <c r="AC70" i="20"/>
  <c r="AI223" i="20"/>
  <c r="X299" i="20"/>
  <c r="Y62" i="20"/>
  <c r="AD46" i="20"/>
  <c r="AC75" i="20"/>
  <c r="AB92" i="20"/>
  <c r="AB75" i="20" s="1"/>
  <c r="AD111" i="20"/>
  <c r="AD110" i="20" s="1"/>
  <c r="AD109" i="20" s="1"/>
  <c r="AB231" i="20"/>
  <c r="AB230" i="20" s="1"/>
  <c r="AB278" i="20"/>
  <c r="AB268" i="20" s="1"/>
  <c r="AC307" i="20"/>
  <c r="AC306" i="20" s="1"/>
  <c r="AC305" i="20" s="1"/>
  <c r="AH92" i="20"/>
  <c r="AH75" i="20" s="1"/>
  <c r="Y33" i="20"/>
  <c r="Y32" i="20" s="1"/>
  <c r="AH299" i="20"/>
  <c r="AI10" i="20"/>
  <c r="AI9" i="20" s="1"/>
  <c r="AI8" i="20" s="1"/>
  <c r="Z183" i="20"/>
  <c r="AB165" i="20"/>
  <c r="AD258" i="20"/>
  <c r="AD257" i="20" s="1"/>
  <c r="AD256" i="20" s="1"/>
  <c r="AC321" i="20"/>
  <c r="AC320" i="20" s="1"/>
  <c r="AC319" i="20" s="1"/>
  <c r="AG46" i="20"/>
  <c r="AF70" i="20"/>
  <c r="AH123" i="20"/>
  <c r="AH122" i="20" s="1"/>
  <c r="AG159" i="20"/>
  <c r="AG214" i="20"/>
  <c r="AG203" i="20" s="1"/>
  <c r="AI231" i="20"/>
  <c r="AI230" i="20" s="1"/>
  <c r="AI299" i="20"/>
  <c r="AA183" i="20"/>
  <c r="AC62" i="20"/>
  <c r="AE258" i="20"/>
  <c r="AE257" i="20" s="1"/>
  <c r="AE256" i="20" s="1"/>
  <c r="AC299" i="20"/>
  <c r="AD321" i="20"/>
  <c r="AD320" i="20" s="1"/>
  <c r="AD319" i="20" s="1"/>
  <c r="AH46" i="20"/>
  <c r="AH62" i="20"/>
  <c r="AG70" i="20"/>
  <c r="AF98" i="20"/>
  <c r="AI111" i="20"/>
  <c r="AI110" i="20" s="1"/>
  <c r="AI109" i="20" s="1"/>
  <c r="AI123" i="20"/>
  <c r="AI122" i="20" s="1"/>
  <c r="AH214" i="20"/>
  <c r="AH203" i="20" s="1"/>
  <c r="AD57" i="20"/>
  <c r="AC111" i="20"/>
  <c r="AC110" i="20" s="1"/>
  <c r="AC109" i="20" s="1"/>
  <c r="AB123" i="20"/>
  <c r="AB122" i="20" s="1"/>
  <c r="AC278" i="20"/>
  <c r="AC268" i="20" s="1"/>
  <c r="AD299" i="20"/>
  <c r="AI62" i="20"/>
  <c r="AI159" i="20"/>
  <c r="AI214" i="20"/>
  <c r="AI203" i="20" s="1"/>
  <c r="AA57" i="20"/>
  <c r="Z307" i="20"/>
  <c r="Z306" i="20" s="1"/>
  <c r="Z305" i="20" s="1"/>
  <c r="AB33" i="20"/>
  <c r="AB32" i="20" s="1"/>
  <c r="AE57" i="20"/>
  <c r="AC123" i="20"/>
  <c r="AC122" i="20" s="1"/>
  <c r="AE299" i="20"/>
  <c r="AF57" i="20"/>
  <c r="AI70" i="20"/>
  <c r="AC33" i="20"/>
  <c r="AC32" i="20" s="1"/>
  <c r="AC52" i="20"/>
  <c r="AB159" i="20"/>
  <c r="AF258" i="20"/>
  <c r="AF257" i="20" s="1"/>
  <c r="AF256" i="20" s="1"/>
  <c r="AG258" i="20"/>
  <c r="AG257" i="20" s="1"/>
  <c r="AG256" i="20" s="1"/>
  <c r="Z258" i="20"/>
  <c r="Z257" i="20" s="1"/>
  <c r="Z256" i="20" s="1"/>
  <c r="AH258" i="20"/>
  <c r="AH257" i="20" s="1"/>
  <c r="AH256" i="20" s="1"/>
  <c r="X92" i="20"/>
  <c r="X75" i="20" s="1"/>
  <c r="Y111" i="20"/>
  <c r="Y110" i="20" s="1"/>
  <c r="Y109" i="20" s="1"/>
  <c r="AC46" i="20"/>
  <c r="AB70" i="20"/>
  <c r="AI98" i="20"/>
  <c r="AB172" i="20"/>
  <c r="AB171" i="20" s="1"/>
  <c r="AE231" i="20"/>
  <c r="AE230" i="20" s="1"/>
  <c r="AF231" i="20"/>
  <c r="AF230" i="20" s="1"/>
  <c r="AF299" i="20"/>
  <c r="AI307" i="20"/>
  <c r="AI306" i="20" s="1"/>
  <c r="AI305" i="20" s="1"/>
  <c r="Y214" i="20"/>
  <c r="Y203" i="20" s="1"/>
  <c r="AE46" i="20"/>
  <c r="AD70" i="20"/>
  <c r="AC172" i="20"/>
  <c r="AC171" i="20" s="1"/>
  <c r="AB258" i="20"/>
  <c r="AB257" i="20" s="1"/>
  <c r="AB256" i="20" s="1"/>
  <c r="AB307" i="20"/>
  <c r="AB306" i="20" s="1"/>
  <c r="AB305" i="20" s="1"/>
  <c r="AF111" i="20"/>
  <c r="AF110" i="20" s="1"/>
  <c r="AF109" i="20" s="1"/>
  <c r="AG231" i="20"/>
  <c r="AG230" i="20" s="1"/>
  <c r="AG278" i="20"/>
  <c r="AG268" i="20" s="1"/>
  <c r="AG299" i="20"/>
  <c r="AA33" i="20"/>
  <c r="AA32" i="20" s="1"/>
  <c r="AA52" i="20"/>
  <c r="Z299" i="20"/>
  <c r="AE62" i="20"/>
  <c r="AE159" i="20"/>
  <c r="AD172" i="20"/>
  <c r="AD171" i="20" s="1"/>
  <c r="AC258" i="20"/>
  <c r="AC257" i="20" s="1"/>
  <c r="AC256" i="20" s="1"/>
  <c r="AF46" i="20"/>
  <c r="AF62" i="20"/>
  <c r="AG111" i="20"/>
  <c r="AG110" i="20" s="1"/>
  <c r="AG109" i="20" s="1"/>
  <c r="AG123" i="20"/>
  <c r="AG122" i="20" s="1"/>
  <c r="AF159" i="20"/>
  <c r="AF214" i="20"/>
  <c r="AF203" i="20" s="1"/>
  <c r="AH231" i="20"/>
  <c r="AH230" i="20" s="1"/>
  <c r="AG307" i="20"/>
  <c r="AG306" i="20" s="1"/>
  <c r="AG305" i="20" s="1"/>
  <c r="AA10" i="20"/>
  <c r="AA9" i="20" s="1"/>
  <c r="AA8" i="20" s="1"/>
  <c r="Z321" i="20"/>
  <c r="Z320" i="20" s="1"/>
  <c r="Z319" i="20" s="1"/>
  <c r="AA321" i="20"/>
  <c r="AA320" i="20" s="1"/>
  <c r="AA319" i="20" s="1"/>
  <c r="AH10" i="20"/>
  <c r="AH9" i="20" s="1"/>
  <c r="AH8" i="20" s="1"/>
  <c r="AH183" i="20"/>
  <c r="AC183" i="20"/>
  <c r="AI183" i="20"/>
  <c r="AA258" i="20"/>
  <c r="AA257" i="20" s="1"/>
  <c r="AA256" i="20" s="1"/>
  <c r="AF10" i="20"/>
  <c r="AF9" i="20" s="1"/>
  <c r="AF8" i="20" s="1"/>
  <c r="AI258" i="20"/>
  <c r="AI257" i="20" s="1"/>
  <c r="AI256" i="20" s="1"/>
  <c r="AH321" i="20"/>
  <c r="AH320" i="20" s="1"/>
  <c r="AH319" i="20" s="1"/>
  <c r="AD10" i="20"/>
  <c r="AD9" i="20" s="1"/>
  <c r="AD8" i="20" s="1"/>
  <c r="AG165" i="20"/>
  <c r="AG183" i="20"/>
  <c r="AD183" i="20"/>
  <c r="AI165" i="20"/>
  <c r="AE183" i="20"/>
  <c r="AI321" i="20"/>
  <c r="AI320" i="20" s="1"/>
  <c r="AI319" i="20" s="1"/>
  <c r="X111" i="20"/>
  <c r="X110" i="20" s="1"/>
  <c r="X109" i="20" s="1"/>
  <c r="Y231" i="20"/>
  <c r="Y230" i="20" s="1"/>
  <c r="AA123" i="20"/>
  <c r="AA122" i="20" s="1"/>
  <c r="AA214" i="20"/>
  <c r="AA203" i="20" s="1"/>
  <c r="AA278" i="20"/>
  <c r="AA268" i="20" s="1"/>
  <c r="AB52" i="20"/>
  <c r="AB321" i="20"/>
  <c r="AB320" i="20" s="1"/>
  <c r="AB319" i="20" s="1"/>
  <c r="Y183" i="20"/>
  <c r="Z98" i="20"/>
  <c r="Z231" i="20"/>
  <c r="Z230" i="20" s="1"/>
  <c r="AB46" i="20"/>
  <c r="AF123" i="20"/>
  <c r="AF122" i="20" s="1"/>
  <c r="Y123" i="20"/>
  <c r="Y122" i="20" s="1"/>
  <c r="Y258" i="20"/>
  <c r="Y257" i="20" s="1"/>
  <c r="Y256" i="20" s="1"/>
  <c r="Y299" i="20"/>
  <c r="Z33" i="20"/>
  <c r="Z32" i="20" s="1"/>
  <c r="AA98" i="20"/>
  <c r="AA231" i="20"/>
  <c r="AA230" i="20" s="1"/>
  <c r="AB299" i="20"/>
  <c r="AG62" i="20"/>
  <c r="Y92" i="20"/>
  <c r="Y75" i="20" s="1"/>
  <c r="Y307" i="20"/>
  <c r="Y306" i="20" s="1"/>
  <c r="Y305" i="20" s="1"/>
  <c r="AA307" i="20"/>
  <c r="AA306" i="20" s="1"/>
  <c r="AA305" i="20" s="1"/>
  <c r="AB214" i="20"/>
  <c r="AB203" i="20" s="1"/>
  <c r="Y10" i="20"/>
  <c r="Y9" i="20" s="1"/>
  <c r="Y8" i="20" s="1"/>
  <c r="Y159" i="20"/>
  <c r="Z52" i="20"/>
  <c r="Z111" i="20"/>
  <c r="Z110" i="20" s="1"/>
  <c r="Z109" i="20" s="1"/>
  <c r="Z159" i="20"/>
  <c r="Z172" i="20"/>
  <c r="Z171" i="20" s="1"/>
  <c r="AG10" i="20"/>
  <c r="AG9" i="20" s="1"/>
  <c r="AG8" i="20" s="1"/>
  <c r="Y98" i="20"/>
  <c r="AA111" i="20"/>
  <c r="AA110" i="20" s="1"/>
  <c r="AA109" i="20" s="1"/>
  <c r="AA159" i="20"/>
  <c r="AA172" i="20"/>
  <c r="AA171" i="20" s="1"/>
  <c r="AG75" i="20"/>
  <c r="AF52" i="20"/>
  <c r="AG321" i="20"/>
  <c r="AG320" i="20" s="1"/>
  <c r="AG319" i="20" s="1"/>
  <c r="Y278" i="20"/>
  <c r="Y268" i="20" s="1"/>
  <c r="AG98" i="20"/>
  <c r="X165" i="20"/>
  <c r="Z92" i="20"/>
  <c r="Z75" i="20" s="1"/>
  <c r="AB98" i="20"/>
  <c r="AF223" i="20"/>
  <c r="Y165" i="20"/>
  <c r="X307" i="20"/>
  <c r="X306" i="20" s="1"/>
  <c r="X305" i="20" s="1"/>
  <c r="Y172" i="20"/>
  <c r="Y171" i="20" s="1"/>
  <c r="Z46" i="20"/>
  <c r="AA92" i="20"/>
  <c r="AA75" i="20" s="1"/>
  <c r="AB62" i="20"/>
  <c r="AF183" i="20"/>
  <c r="AF307" i="20"/>
  <c r="AF306" i="20" s="1"/>
  <c r="AF305" i="20" s="1"/>
  <c r="AF321" i="20"/>
  <c r="AF320" i="20" s="1"/>
  <c r="AF319" i="20" s="1"/>
  <c r="Y321" i="20"/>
  <c r="Y320" i="20" s="1"/>
  <c r="Y319" i="20" s="1"/>
  <c r="AA46" i="20"/>
  <c r="Z123" i="20"/>
  <c r="Z122" i="20" s="1"/>
  <c r="Z214" i="20"/>
  <c r="Z203" i="20" s="1"/>
  <c r="Z278" i="20"/>
  <c r="Z268" i="20" s="1"/>
  <c r="AB10" i="20"/>
  <c r="AB9" i="20" s="1"/>
  <c r="AB8" i="20" s="1"/>
  <c r="AB57" i="20"/>
  <c r="AC15" i="20"/>
  <c r="AB183" i="20"/>
  <c r="X62" i="20"/>
  <c r="X321" i="20"/>
  <c r="X320" i="20" s="1"/>
  <c r="X319" i="20" s="1"/>
  <c r="X278" i="20"/>
  <c r="X268" i="20" s="1"/>
  <c r="X258" i="20"/>
  <c r="X257" i="20" s="1"/>
  <c r="X256" i="20" s="1"/>
  <c r="X231" i="20"/>
  <c r="X230" i="20" s="1"/>
  <c r="X214" i="20"/>
  <c r="X203" i="20" s="1"/>
  <c r="X172" i="20"/>
  <c r="X171" i="20" s="1"/>
  <c r="X159" i="20"/>
  <c r="X123" i="20"/>
  <c r="X122" i="20" s="1"/>
  <c r="X33" i="20"/>
  <c r="X32" i="20" s="1"/>
  <c r="X46" i="20"/>
  <c r="X10" i="20"/>
  <c r="X9" i="20" s="1"/>
  <c r="X8" i="20" s="1"/>
  <c r="X70" i="20"/>
  <c r="X57" i="20"/>
  <c r="X52" i="20"/>
  <c r="X183" i="20"/>
  <c r="X98" i="20"/>
  <c r="AE202" i="20" l="1"/>
  <c r="AB202" i="20"/>
  <c r="Y202" i="20"/>
  <c r="AD116" i="20"/>
  <c r="X202" i="20"/>
  <c r="AG202" i="20"/>
  <c r="AG201" i="20" s="1"/>
  <c r="AG200" i="20" s="1"/>
  <c r="AG5" i="20" s="1"/>
  <c r="AA202" i="20"/>
  <c r="AH202" i="20"/>
  <c r="AB116" i="20"/>
  <c r="AB97" i="20" s="1"/>
  <c r="AG45" i="20"/>
  <c r="AG27" i="20" s="1"/>
  <c r="X116" i="20"/>
  <c r="Z45" i="20"/>
  <c r="Z27" i="20" s="1"/>
  <c r="AD45" i="20"/>
  <c r="AD27" i="20" s="1"/>
  <c r="AC202" i="20"/>
  <c r="AI45" i="20"/>
  <c r="AI27" i="20" s="1"/>
  <c r="AC229" i="20"/>
  <c r="AH116" i="20"/>
  <c r="AH97" i="20" s="1"/>
  <c r="AC116" i="20"/>
  <c r="AC97" i="20" s="1"/>
  <c r="Y45" i="20"/>
  <c r="Y27" i="20" s="1"/>
  <c r="AH229" i="20"/>
  <c r="Z202" i="20"/>
  <c r="AF116" i="20"/>
  <c r="AF97" i="20" s="1"/>
  <c r="AG229" i="20"/>
  <c r="AD97" i="20"/>
  <c r="AD202" i="20"/>
  <c r="AI202" i="20"/>
  <c r="AA45" i="20"/>
  <c r="AA27" i="20" s="1"/>
  <c r="AI229" i="20"/>
  <c r="AD229" i="20"/>
  <c r="Z116" i="20"/>
  <c r="Z97" i="20" s="1"/>
  <c r="AI116" i="20"/>
  <c r="AI97" i="20" s="1"/>
  <c r="X229" i="20"/>
  <c r="AF229" i="20"/>
  <c r="AE116" i="20"/>
  <c r="AC45" i="20"/>
  <c r="AC27" i="20" s="1"/>
  <c r="AE229" i="20"/>
  <c r="AE201" i="20" s="1"/>
  <c r="AE200" i="20" s="1"/>
  <c r="AE5" i="20" s="1"/>
  <c r="AE45" i="20"/>
  <c r="AE27" i="20" s="1"/>
  <c r="AE97" i="20"/>
  <c r="AH45" i="20"/>
  <c r="AH27" i="20" s="1"/>
  <c r="AG116" i="20"/>
  <c r="AG97" i="20" s="1"/>
  <c r="AB45" i="20"/>
  <c r="AB27" i="20" s="1"/>
  <c r="AB229" i="20"/>
  <c r="AB201" i="20" s="1"/>
  <c r="AB200" i="20" s="1"/>
  <c r="AB5" i="20" s="1"/>
  <c r="AA116" i="20"/>
  <c r="AA97" i="20" s="1"/>
  <c r="AF45" i="20"/>
  <c r="AF27" i="20" s="1"/>
  <c r="Y116" i="20"/>
  <c r="Y97" i="20" s="1"/>
  <c r="Z229" i="20"/>
  <c r="Y229" i="20"/>
  <c r="Y201" i="20" s="1"/>
  <c r="AF202" i="20"/>
  <c r="AA229" i="20"/>
  <c r="AC10" i="20"/>
  <c r="X45" i="20"/>
  <c r="X27" i="20" s="1"/>
  <c r="X97" i="20"/>
  <c r="AH201" i="20" l="1"/>
  <c r="AH200" i="20" s="1"/>
  <c r="AH5" i="20" s="1"/>
  <c r="AF201" i="20"/>
  <c r="AF200" i="20" s="1"/>
  <c r="AF5" i="20" s="1"/>
  <c r="AA201" i="20"/>
  <c r="AA200" i="20" s="1"/>
  <c r="AA5" i="20" s="1"/>
  <c r="Z201" i="20"/>
  <c r="Z200" i="20" s="1"/>
  <c r="Z5" i="20" s="1"/>
  <c r="X201" i="20"/>
  <c r="X200" i="20" s="1"/>
  <c r="X5" i="20" s="1"/>
  <c r="AD26" i="20"/>
  <c r="AD7" i="20" s="1"/>
  <c r="AI26" i="20"/>
  <c r="AI7" i="20" s="1"/>
  <c r="AI201" i="20"/>
  <c r="AI200" i="20" s="1"/>
  <c r="AI5" i="20" s="1"/>
  <c r="AE26" i="20"/>
  <c r="AE7" i="20" s="1"/>
  <c r="AG26" i="20"/>
  <c r="AG7" i="20" s="1"/>
  <c r="AC201" i="20"/>
  <c r="AC200" i="20" s="1"/>
  <c r="AC5" i="20" s="1"/>
  <c r="AF26" i="20"/>
  <c r="AF7" i="20" s="1"/>
  <c r="AD201" i="20"/>
  <c r="AD200" i="20" s="1"/>
  <c r="AD5" i="20" s="1"/>
  <c r="Z26" i="20"/>
  <c r="Z7" i="20" s="1"/>
  <c r="AC26" i="20"/>
  <c r="Y26" i="20"/>
  <c r="Y7" i="20" s="1"/>
  <c r="AA26" i="20"/>
  <c r="AA7" i="20" s="1"/>
  <c r="AH26" i="20"/>
  <c r="AH7" i="20" s="1"/>
  <c r="AB26" i="20"/>
  <c r="AB7" i="20" s="1"/>
  <c r="Y200" i="20"/>
  <c r="AC9" i="20"/>
  <c r="X26" i="20"/>
  <c r="X7" i="20" s="1"/>
  <c r="Y5" i="20" l="1"/>
  <c r="AC8" i="20"/>
  <c r="AC7" i="20" l="1"/>
  <c r="S303" i="20" l="1"/>
  <c r="AJ303" i="20" s="1"/>
  <c r="R363" i="20"/>
  <c r="R362" i="20" s="1"/>
  <c r="S363" i="20"/>
  <c r="S362" i="20" s="1"/>
  <c r="T362" i="20"/>
  <c r="S323" i="20"/>
  <c r="S322" i="20" s="1"/>
  <c r="T322" i="20"/>
  <c r="T317" i="20"/>
  <c r="S317" i="20"/>
  <c r="AJ317" i="20" s="1"/>
  <c r="R317" i="20"/>
  <c r="T314" i="20"/>
  <c r="S314" i="20"/>
  <c r="AJ314" i="20" s="1"/>
  <c r="R314" i="20"/>
  <c r="S312" i="20"/>
  <c r="R312" i="20"/>
  <c r="S310" i="20"/>
  <c r="R310" i="20"/>
  <c r="T309" i="20"/>
  <c r="S308" i="20"/>
  <c r="R308" i="20"/>
  <c r="T307" i="20"/>
  <c r="T306" i="20" s="1"/>
  <c r="R303" i="20"/>
  <c r="S300" i="20"/>
  <c r="R300" i="20"/>
  <c r="T299" i="20"/>
  <c r="R298" i="20"/>
  <c r="R297" i="20" s="1"/>
  <c r="R296" i="20" s="1"/>
  <c r="R295" i="20" s="1"/>
  <c r="T297" i="20"/>
  <c r="T296" i="20" s="1"/>
  <c r="T295" i="20" s="1"/>
  <c r="S297" i="20"/>
  <c r="S296" i="20" s="1"/>
  <c r="S295" i="20" s="1"/>
  <c r="T292" i="20"/>
  <c r="T291" i="20" s="1"/>
  <c r="T290" i="20" s="1"/>
  <c r="S292" i="20"/>
  <c r="S291" i="20" s="1"/>
  <c r="S290" i="20" s="1"/>
  <c r="R292" i="20"/>
  <c r="R291" i="20" s="1"/>
  <c r="R290" i="20" s="1"/>
  <c r="R288" i="20"/>
  <c r="R287" i="20"/>
  <c r="R286" i="20"/>
  <c r="V286" i="20" s="1"/>
  <c r="R284" i="20"/>
  <c r="T282" i="20"/>
  <c r="S282" i="20"/>
  <c r="R281" i="20"/>
  <c r="V281" i="20" s="1"/>
  <c r="T279" i="20"/>
  <c r="S279" i="20"/>
  <c r="R275" i="20"/>
  <c r="R274" i="20"/>
  <c r="R273" i="20"/>
  <c r="T271" i="20"/>
  <c r="T270" i="20" s="1"/>
  <c r="T269" i="20" s="1"/>
  <c r="S271" i="20"/>
  <c r="S270" i="20" s="1"/>
  <c r="S269" i="20" s="1"/>
  <c r="T266" i="20"/>
  <c r="T265" i="20" s="1"/>
  <c r="T264" i="20" s="1"/>
  <c r="S266" i="20"/>
  <c r="S265" i="20" s="1"/>
  <c r="S264" i="20" s="1"/>
  <c r="R266" i="20"/>
  <c r="R265" i="20" s="1"/>
  <c r="R264" i="20" s="1"/>
  <c r="T262" i="20"/>
  <c r="T261" i="20" s="1"/>
  <c r="S262" i="20"/>
  <c r="S261" i="20" s="1"/>
  <c r="R262" i="20"/>
  <c r="R261" i="20" s="1"/>
  <c r="T259" i="20"/>
  <c r="S259" i="20"/>
  <c r="R259" i="20"/>
  <c r="T254" i="20"/>
  <c r="T253" i="20" s="1"/>
  <c r="T252" i="20" s="1"/>
  <c r="S254" i="20"/>
  <c r="S253" i="20" s="1"/>
  <c r="S252" i="20" s="1"/>
  <c r="R254" i="20"/>
  <c r="R253" i="20" s="1"/>
  <c r="R252" i="20" s="1"/>
  <c r="R249" i="20"/>
  <c r="R246" i="20" s="1"/>
  <c r="T246" i="20"/>
  <c r="S246" i="20"/>
  <c r="T240" i="20"/>
  <c r="S240" i="20"/>
  <c r="R240" i="20"/>
  <c r="V237" i="20"/>
  <c r="V235" i="20"/>
  <c r="S233" i="20"/>
  <c r="S232" i="20" s="1"/>
  <c r="R232" i="20"/>
  <c r="T227" i="20"/>
  <c r="S227" i="20"/>
  <c r="R227" i="20"/>
  <c r="T224" i="20"/>
  <c r="S224" i="20"/>
  <c r="R224" i="20"/>
  <c r="T221" i="20"/>
  <c r="T220" i="20" s="1"/>
  <c r="S221" i="20"/>
  <c r="S220" i="20" s="1"/>
  <c r="R221" i="20"/>
  <c r="R220" i="20" s="1"/>
  <c r="T218" i="20"/>
  <c r="S218" i="20"/>
  <c r="R218" i="20"/>
  <c r="T215" i="20"/>
  <c r="S215" i="20"/>
  <c r="R215" i="20"/>
  <c r="T211" i="20"/>
  <c r="T210" i="20" s="1"/>
  <c r="S211" i="20"/>
  <c r="S210" i="20" s="1"/>
  <c r="R211" i="20"/>
  <c r="R210" i="20" s="1"/>
  <c r="T208" i="20"/>
  <c r="T207" i="20" s="1"/>
  <c r="S208" i="20"/>
  <c r="S207" i="20" s="1"/>
  <c r="R208" i="20"/>
  <c r="R207" i="20" s="1"/>
  <c r="T205" i="20"/>
  <c r="T204" i="20" s="1"/>
  <c r="S205" i="20"/>
  <c r="S204" i="20" s="1"/>
  <c r="R205" i="20"/>
  <c r="R204" i="20" s="1"/>
  <c r="T198" i="20"/>
  <c r="S198" i="20"/>
  <c r="R198" i="20"/>
  <c r="T196" i="20"/>
  <c r="T195" i="20" s="1"/>
  <c r="S196" i="20"/>
  <c r="S195" i="20" s="1"/>
  <c r="R196" i="20"/>
  <c r="R195" i="20" s="1"/>
  <c r="T192" i="20"/>
  <c r="T191" i="20" s="1"/>
  <c r="S192" i="20"/>
  <c r="R192" i="20"/>
  <c r="R191" i="20" s="1"/>
  <c r="T189" i="20"/>
  <c r="T188" i="20" s="1"/>
  <c r="S189" i="20"/>
  <c r="S188" i="20" s="1"/>
  <c r="R189" i="20"/>
  <c r="R188" i="20" s="1"/>
  <c r="T185" i="20"/>
  <c r="T184" i="20" s="1"/>
  <c r="S185" i="20"/>
  <c r="S184" i="20" s="1"/>
  <c r="R185" i="20"/>
  <c r="R184" i="20" s="1"/>
  <c r="T178" i="20"/>
  <c r="S178" i="20"/>
  <c r="R178" i="20"/>
  <c r="T175" i="20"/>
  <c r="S175" i="20"/>
  <c r="R175" i="20"/>
  <c r="T173" i="20"/>
  <c r="S173" i="20"/>
  <c r="R173" i="20"/>
  <c r="T169" i="20"/>
  <c r="T168" i="20" s="1"/>
  <c r="S169" i="20"/>
  <c r="S168" i="20" s="1"/>
  <c r="R169" i="20"/>
  <c r="R168" i="20" s="1"/>
  <c r="T166" i="20"/>
  <c r="S166" i="20"/>
  <c r="R166" i="20"/>
  <c r="T163" i="20"/>
  <c r="S163" i="20"/>
  <c r="R163" i="20"/>
  <c r="T160" i="20"/>
  <c r="S160" i="20"/>
  <c r="R160" i="20"/>
  <c r="T153" i="20"/>
  <c r="S153" i="20"/>
  <c r="R153" i="20"/>
  <c r="T151" i="20"/>
  <c r="S151" i="20"/>
  <c r="R151" i="20"/>
  <c r="R148" i="20"/>
  <c r="T147" i="20"/>
  <c r="S147" i="20"/>
  <c r="R147" i="20"/>
  <c r="T146" i="20"/>
  <c r="S146" i="20"/>
  <c r="T144" i="20"/>
  <c r="S144" i="20"/>
  <c r="T137" i="20"/>
  <c r="S136" i="20"/>
  <c r="S135" i="20"/>
  <c r="S134" i="20"/>
  <c r="S133" i="20"/>
  <c r="S132" i="20"/>
  <c r="T131" i="20"/>
  <c r="S131" i="20"/>
  <c r="T130" i="20"/>
  <c r="S130" i="20"/>
  <c r="T129" i="20"/>
  <c r="S129" i="20"/>
  <c r="T128" i="20"/>
  <c r="S128" i="20"/>
  <c r="T121" i="20"/>
  <c r="S121" i="20"/>
  <c r="T120" i="20"/>
  <c r="S120" i="20"/>
  <c r="T119" i="20"/>
  <c r="S119" i="20"/>
  <c r="R118" i="20"/>
  <c r="R117" i="20" s="1"/>
  <c r="T114" i="20"/>
  <c r="S114" i="20"/>
  <c r="R114" i="20"/>
  <c r="T112" i="20"/>
  <c r="S112" i="20"/>
  <c r="R112" i="20"/>
  <c r="S108" i="20"/>
  <c r="T107" i="20"/>
  <c r="T106" i="20" s="1"/>
  <c r="R107" i="20"/>
  <c r="R106" i="20" s="1"/>
  <c r="T103" i="20"/>
  <c r="S103" i="20"/>
  <c r="R103" i="20"/>
  <c r="T99" i="20"/>
  <c r="S99" i="20"/>
  <c r="R99" i="20"/>
  <c r="T95" i="20"/>
  <c r="S95" i="20"/>
  <c r="R95" i="20"/>
  <c r="T93" i="20"/>
  <c r="S93" i="20"/>
  <c r="R93" i="20"/>
  <c r="T87" i="20"/>
  <c r="S86" i="20"/>
  <c r="S85" i="20" s="1"/>
  <c r="R86" i="20"/>
  <c r="R85" i="20" s="1"/>
  <c r="T82" i="20"/>
  <c r="T81" i="20" s="1"/>
  <c r="S82" i="20"/>
  <c r="S81" i="20" s="1"/>
  <c r="R82" i="20"/>
  <c r="R81" i="20" s="1"/>
  <c r="T79" i="20"/>
  <c r="T78" i="20" s="1"/>
  <c r="S79" i="20"/>
  <c r="R79" i="20"/>
  <c r="R78" i="20" s="1"/>
  <c r="T76" i="20"/>
  <c r="S76" i="20"/>
  <c r="R76" i="20"/>
  <c r="T73" i="20"/>
  <c r="S73" i="20"/>
  <c r="R73" i="20"/>
  <c r="T71" i="20"/>
  <c r="S71" i="20"/>
  <c r="R71" i="20"/>
  <c r="T67" i="20"/>
  <c r="S67" i="20"/>
  <c r="R67" i="20"/>
  <c r="T65" i="20"/>
  <c r="S65" i="20"/>
  <c r="R65" i="20"/>
  <c r="T63" i="20"/>
  <c r="S63" i="20"/>
  <c r="R63" i="20"/>
  <c r="T60" i="20"/>
  <c r="S60" i="20"/>
  <c r="R60" i="20"/>
  <c r="T58" i="20"/>
  <c r="S58" i="20"/>
  <c r="R58" i="20"/>
  <c r="T55" i="20"/>
  <c r="S55" i="20"/>
  <c r="R55" i="20"/>
  <c r="T53" i="20"/>
  <c r="S53" i="20"/>
  <c r="R53" i="20"/>
  <c r="T50" i="20"/>
  <c r="S50" i="20"/>
  <c r="R50" i="20"/>
  <c r="T47" i="20"/>
  <c r="S47" i="20"/>
  <c r="R47" i="20"/>
  <c r="T42" i="20"/>
  <c r="S42" i="20"/>
  <c r="R42" i="20"/>
  <c r="T38" i="20"/>
  <c r="S38" i="20"/>
  <c r="R38" i="20"/>
  <c r="T36" i="20"/>
  <c r="S36" i="20"/>
  <c r="R36" i="20"/>
  <c r="T34" i="20"/>
  <c r="S34" i="20"/>
  <c r="R34" i="20"/>
  <c r="T30" i="20"/>
  <c r="T29" i="20" s="1"/>
  <c r="T28" i="20" s="1"/>
  <c r="S30" i="20"/>
  <c r="S29" i="20" s="1"/>
  <c r="R30" i="20"/>
  <c r="R29" i="20" s="1"/>
  <c r="R28" i="20" s="1"/>
  <c r="T24" i="20"/>
  <c r="T23" i="20" s="1"/>
  <c r="T22" i="20" s="1"/>
  <c r="T21" i="20" s="1"/>
  <c r="T20" i="20" s="1"/>
  <c r="S24" i="20"/>
  <c r="S23" i="20" s="1"/>
  <c r="R24" i="20"/>
  <c r="R23" i="20" s="1"/>
  <c r="R22" i="20" s="1"/>
  <c r="R21" i="20" s="1"/>
  <c r="R20" i="20" s="1"/>
  <c r="T16" i="20"/>
  <c r="T15" i="20" s="1"/>
  <c r="S16" i="20"/>
  <c r="R16" i="20"/>
  <c r="R15" i="20" s="1"/>
  <c r="T12" i="20"/>
  <c r="T11" i="20" s="1"/>
  <c r="S12" i="20"/>
  <c r="S11" i="20" s="1"/>
  <c r="AJ11" i="20" s="1"/>
  <c r="R12" i="20"/>
  <c r="R11" i="20" s="1"/>
  <c r="T108" i="17"/>
  <c r="T223" i="20" l="1"/>
  <c r="S299" i="20"/>
  <c r="AJ299" i="20" s="1"/>
  <c r="AJ300" i="20"/>
  <c r="R159" i="20"/>
  <c r="R323" i="20"/>
  <c r="R322" i="20" s="1"/>
  <c r="R321" i="20" s="1"/>
  <c r="R320" i="20" s="1"/>
  <c r="R319" i="20" s="1"/>
  <c r="R124" i="20"/>
  <c r="R123" i="20" s="1"/>
  <c r="R122" i="20" s="1"/>
  <c r="R46" i="20"/>
  <c r="T57" i="20"/>
  <c r="T46" i="20"/>
  <c r="R258" i="20"/>
  <c r="R257" i="20" s="1"/>
  <c r="R256" i="20" s="1"/>
  <c r="R214" i="20"/>
  <c r="R203" i="20" s="1"/>
  <c r="S118" i="20"/>
  <c r="S117" i="20" s="1"/>
  <c r="T33" i="20"/>
  <c r="T32" i="20" s="1"/>
  <c r="S62" i="20"/>
  <c r="R271" i="20"/>
  <c r="R270" i="20" s="1"/>
  <c r="R269" i="20" s="1"/>
  <c r="R33" i="20"/>
  <c r="R32" i="20" s="1"/>
  <c r="T92" i="20"/>
  <c r="S278" i="20"/>
  <c r="S268" i="20" s="1"/>
  <c r="R307" i="20"/>
  <c r="R306" i="20" s="1"/>
  <c r="R305" i="20" s="1"/>
  <c r="S307" i="20"/>
  <c r="S306" i="20" s="1"/>
  <c r="T321" i="20"/>
  <c r="T320" i="20" s="1"/>
  <c r="T319" i="20" s="1"/>
  <c r="R223" i="20"/>
  <c r="T70" i="20"/>
  <c r="T305" i="20"/>
  <c r="T62" i="20"/>
  <c r="R57" i="20"/>
  <c r="R231" i="20"/>
  <c r="R230" i="20" s="1"/>
  <c r="R282" i="20"/>
  <c r="R111" i="20"/>
  <c r="R110" i="20" s="1"/>
  <c r="R109" i="20" s="1"/>
  <c r="S111" i="20"/>
  <c r="S92" i="20"/>
  <c r="T111" i="20"/>
  <c r="T110" i="20" s="1"/>
  <c r="T109" i="20" s="1"/>
  <c r="S191" i="20"/>
  <c r="S231" i="20"/>
  <c r="S230" i="20" s="1"/>
  <c r="T52" i="20"/>
  <c r="T124" i="20"/>
  <c r="T123" i="20" s="1"/>
  <c r="T122" i="20" s="1"/>
  <c r="R10" i="20"/>
  <c r="R9" i="20" s="1"/>
  <c r="R8" i="20" s="1"/>
  <c r="R183" i="20"/>
  <c r="R98" i="20"/>
  <c r="T118" i="20"/>
  <c r="T117" i="20" s="1"/>
  <c r="R172" i="20"/>
  <c r="R171" i="20" s="1"/>
  <c r="T165" i="20"/>
  <c r="T172" i="20"/>
  <c r="T171" i="20" s="1"/>
  <c r="S258" i="20"/>
  <c r="S257" i="20" s="1"/>
  <c r="S256" i="20" s="1"/>
  <c r="S321" i="20"/>
  <c r="S320" i="20" s="1"/>
  <c r="S214" i="20"/>
  <c r="S203" i="20" s="1"/>
  <c r="S223" i="20"/>
  <c r="S15" i="20"/>
  <c r="R62" i="20"/>
  <c r="S159" i="20"/>
  <c r="R165" i="20"/>
  <c r="T183" i="20"/>
  <c r="R299" i="20"/>
  <c r="S70" i="20"/>
  <c r="S124" i="20"/>
  <c r="T159" i="20"/>
  <c r="S52" i="20"/>
  <c r="S107" i="20"/>
  <c r="S46" i="20"/>
  <c r="R52" i="20"/>
  <c r="R70" i="20"/>
  <c r="S78" i="20"/>
  <c r="T214" i="20"/>
  <c r="T203" i="20" s="1"/>
  <c r="T202" i="20" s="1"/>
  <c r="T278" i="20"/>
  <c r="T268" i="20" s="1"/>
  <c r="S28" i="20"/>
  <c r="T10" i="20"/>
  <c r="T9" i="20" s="1"/>
  <c r="T8" i="20" s="1"/>
  <c r="S22" i="20"/>
  <c r="T258" i="20"/>
  <c r="T257" i="20" s="1"/>
  <c r="T256" i="20" s="1"/>
  <c r="R92" i="20"/>
  <c r="T98" i="20"/>
  <c r="S165" i="20"/>
  <c r="T233" i="20"/>
  <c r="T232" i="20" s="1"/>
  <c r="T231" i="20" s="1"/>
  <c r="T230" i="20" s="1"/>
  <c r="V284" i="20"/>
  <c r="S33" i="20"/>
  <c r="S57" i="20"/>
  <c r="R279" i="20"/>
  <c r="T86" i="20"/>
  <c r="T85" i="20" s="1"/>
  <c r="T75" i="20" s="1"/>
  <c r="S172" i="20"/>
  <c r="T253" i="17"/>
  <c r="U253" i="17" s="1"/>
  <c r="S319" i="20" l="1"/>
  <c r="AJ319" i="20" s="1"/>
  <c r="S305" i="20"/>
  <c r="AJ305" i="20" s="1"/>
  <c r="AJ306" i="20"/>
  <c r="R278" i="20"/>
  <c r="R268" i="20" s="1"/>
  <c r="R229" i="20" s="1"/>
  <c r="R116" i="20"/>
  <c r="R97" i="20" s="1"/>
  <c r="T45" i="20"/>
  <c r="T27" i="20" s="1"/>
  <c r="S45" i="20"/>
  <c r="R202" i="20"/>
  <c r="S75" i="20"/>
  <c r="S110" i="20"/>
  <c r="S109" i="20" s="1"/>
  <c r="T116" i="20"/>
  <c r="T97" i="20" s="1"/>
  <c r="S202" i="20"/>
  <c r="AJ202" i="20" s="1"/>
  <c r="S229" i="20"/>
  <c r="S183" i="20"/>
  <c r="S123" i="20"/>
  <c r="S10" i="20"/>
  <c r="AJ10" i="20" s="1"/>
  <c r="R45" i="20"/>
  <c r="S106" i="20"/>
  <c r="T229" i="20"/>
  <c r="T201" i="20" s="1"/>
  <c r="T200" i="20" s="1"/>
  <c r="S21" i="20"/>
  <c r="S171" i="20"/>
  <c r="R75" i="20"/>
  <c r="S32" i="20"/>
  <c r="U87" i="17"/>
  <c r="U150" i="17"/>
  <c r="U143" i="17"/>
  <c r="R201" i="20" l="1"/>
  <c r="R200" i="20" s="1"/>
  <c r="S122" i="20"/>
  <c r="S116" i="20" s="1"/>
  <c r="S201" i="20"/>
  <c r="R27" i="20"/>
  <c r="R26" i="20" s="1"/>
  <c r="R7" i="20" s="1"/>
  <c r="T26" i="20"/>
  <c r="T7" i="20" s="1"/>
  <c r="S98" i="20"/>
  <c r="S27" i="20"/>
  <c r="S20" i="20"/>
  <c r="T183" i="17"/>
  <c r="N8" i="18"/>
  <c r="M8" i="18"/>
  <c r="N7" i="18"/>
  <c r="M7" i="18"/>
  <c r="L3" i="18"/>
  <c r="L4" i="18"/>
  <c r="L5" i="18"/>
  <c r="L7" i="18"/>
  <c r="L8" i="18"/>
  <c r="L9" i="18"/>
  <c r="L10" i="18"/>
  <c r="L11" i="18"/>
  <c r="L6" i="18"/>
  <c r="S97" i="20" l="1"/>
  <c r="S200" i="20"/>
  <c r="AJ201" i="20"/>
  <c r="S9" i="20"/>
  <c r="AJ9" i="20" s="1"/>
  <c r="S26" i="20"/>
  <c r="R103" i="17"/>
  <c r="R112" i="17"/>
  <c r="R114" i="17"/>
  <c r="R125" i="17"/>
  <c r="R164" i="17"/>
  <c r="R186" i="17"/>
  <c r="R185" i="17" s="1"/>
  <c r="R196" i="17"/>
  <c r="R192" i="17"/>
  <c r="R190" i="17"/>
  <c r="AJ200" i="20" l="1"/>
  <c r="AJ5" i="20" s="1"/>
  <c r="S5" i="20"/>
  <c r="S8" i="20"/>
  <c r="AJ8" i="20" s="1"/>
  <c r="R111" i="17"/>
  <c r="R110" i="17" s="1"/>
  <c r="R189" i="17"/>
  <c r="R188" i="17" s="1"/>
  <c r="Z13" i="17"/>
  <c r="Z14" i="17"/>
  <c r="Z17" i="17"/>
  <c r="Z18" i="17"/>
  <c r="Z19" i="17"/>
  <c r="Z25" i="17"/>
  <c r="Z31" i="17"/>
  <c r="Z35" i="17"/>
  <c r="Z37" i="17"/>
  <c r="Z39" i="17"/>
  <c r="Z40" i="17"/>
  <c r="Z41" i="17"/>
  <c r="Z43" i="17"/>
  <c r="Z44" i="17"/>
  <c r="Z48" i="17"/>
  <c r="Z49" i="17"/>
  <c r="Z51" i="17"/>
  <c r="Z54" i="17"/>
  <c r="Z56" i="17"/>
  <c r="Z59" i="17"/>
  <c r="Z61" i="17"/>
  <c r="Z64" i="17"/>
  <c r="Z66" i="17"/>
  <c r="Z68" i="17"/>
  <c r="Z69" i="17"/>
  <c r="Z72" i="17"/>
  <c r="Z74" i="17"/>
  <c r="Z77" i="17"/>
  <c r="Z80" i="17"/>
  <c r="Z83" i="17"/>
  <c r="Z84" i="17"/>
  <c r="Z87" i="17"/>
  <c r="Z88" i="17"/>
  <c r="Z89" i="17"/>
  <c r="Z90" i="17"/>
  <c r="Z91" i="17"/>
  <c r="Z94" i="17"/>
  <c r="Z96" i="17"/>
  <c r="Z100" i="17"/>
  <c r="Z101" i="17"/>
  <c r="Z102" i="17"/>
  <c r="Z104" i="17"/>
  <c r="Z105" i="17"/>
  <c r="Z108" i="17"/>
  <c r="Z113" i="17"/>
  <c r="Z115" i="17"/>
  <c r="Z122" i="17"/>
  <c r="Z126" i="17"/>
  <c r="Z127" i="17"/>
  <c r="Z128" i="17"/>
  <c r="Z129" i="17"/>
  <c r="Z130" i="17"/>
  <c r="Z131" i="17"/>
  <c r="Z132" i="17"/>
  <c r="Z133" i="17"/>
  <c r="Z144" i="17"/>
  <c r="Z145" i="17"/>
  <c r="Z146" i="17"/>
  <c r="Z147" i="17"/>
  <c r="Z148" i="17"/>
  <c r="Z149" i="17"/>
  <c r="Z150" i="17"/>
  <c r="Z151" i="17"/>
  <c r="Z152" i="17"/>
  <c r="Z153" i="17"/>
  <c r="Z157" i="17"/>
  <c r="Z159" i="17"/>
  <c r="Z163" i="17"/>
  <c r="Z165" i="17"/>
  <c r="Z167" i="17"/>
  <c r="Z168" i="17"/>
  <c r="Z169" i="17"/>
  <c r="Z170" i="17"/>
  <c r="Z171" i="17"/>
  <c r="Z172" i="17"/>
  <c r="Z173" i="17"/>
  <c r="Z174" i="17"/>
  <c r="Z175" i="17"/>
  <c r="Z178" i="17"/>
  <c r="Z179" i="17"/>
  <c r="Z181" i="17"/>
  <c r="Z184" i="17"/>
  <c r="Z187" i="17"/>
  <c r="Z191" i="17"/>
  <c r="Z193" i="17"/>
  <c r="Z194" i="17"/>
  <c r="Z195" i="17"/>
  <c r="Z197" i="17"/>
  <c r="Z198" i="17"/>
  <c r="Z199" i="17"/>
  <c r="Z200" i="17"/>
  <c r="Z201" i="17"/>
  <c r="Z202" i="17"/>
  <c r="Z206" i="17"/>
  <c r="Z207" i="17"/>
  <c r="Z210" i="17"/>
  <c r="Z213" i="17"/>
  <c r="Z214" i="17"/>
  <c r="Z217" i="17"/>
  <c r="Z219" i="17"/>
  <c r="S218" i="17"/>
  <c r="T218" i="17"/>
  <c r="U218" i="17"/>
  <c r="S216" i="17"/>
  <c r="S215" i="17" s="1"/>
  <c r="T216" i="17"/>
  <c r="T215" i="17" s="1"/>
  <c r="U216" i="17"/>
  <c r="U215" i="17" s="1"/>
  <c r="S212" i="17"/>
  <c r="S211" i="17" s="1"/>
  <c r="T212" i="17"/>
  <c r="T211" i="17" s="1"/>
  <c r="U212" i="17"/>
  <c r="U211" i="17" s="1"/>
  <c r="S209" i="17"/>
  <c r="S208" i="17" s="1"/>
  <c r="T209" i="17"/>
  <c r="T208" i="17" s="1"/>
  <c r="U209" i="17"/>
  <c r="U208" i="17" s="1"/>
  <c r="S205" i="17"/>
  <c r="S204" i="17" s="1"/>
  <c r="T205" i="17"/>
  <c r="T204" i="17" s="1"/>
  <c r="U205" i="17"/>
  <c r="U204" i="17" s="1"/>
  <c r="S196" i="17"/>
  <c r="T196" i="17"/>
  <c r="U196" i="17"/>
  <c r="S192" i="17"/>
  <c r="T192" i="17"/>
  <c r="U192" i="17"/>
  <c r="S190" i="17"/>
  <c r="T190" i="17"/>
  <c r="U190" i="17"/>
  <c r="S183" i="17"/>
  <c r="U183" i="17"/>
  <c r="R183" i="17"/>
  <c r="R182" i="17" s="1"/>
  <c r="S180" i="17"/>
  <c r="T180" i="17"/>
  <c r="U180" i="17"/>
  <c r="S177" i="17"/>
  <c r="T177" i="17"/>
  <c r="U177" i="17"/>
  <c r="S166" i="17"/>
  <c r="T166" i="17"/>
  <c r="U166" i="17"/>
  <c r="S164" i="17"/>
  <c r="T164" i="17"/>
  <c r="U164" i="17"/>
  <c r="S118" i="17"/>
  <c r="S117" i="17" s="1"/>
  <c r="S114" i="17"/>
  <c r="T114" i="17"/>
  <c r="U114" i="17"/>
  <c r="S112" i="17"/>
  <c r="T112" i="17"/>
  <c r="U112" i="17"/>
  <c r="S107" i="17"/>
  <c r="S106" i="17" s="1"/>
  <c r="T107" i="17"/>
  <c r="T106" i="17" s="1"/>
  <c r="U107" i="17"/>
  <c r="U106" i="17" s="1"/>
  <c r="S103" i="17"/>
  <c r="T103" i="17"/>
  <c r="U103" i="17"/>
  <c r="S99" i="17"/>
  <c r="T99" i="17"/>
  <c r="U99" i="17"/>
  <c r="S95" i="17"/>
  <c r="T95" i="17"/>
  <c r="U95" i="17"/>
  <c r="S93" i="17"/>
  <c r="T93" i="17"/>
  <c r="U93" i="17"/>
  <c r="S86" i="17"/>
  <c r="S85" i="17" s="1"/>
  <c r="T86" i="17"/>
  <c r="T85" i="17" s="1"/>
  <c r="U86" i="17"/>
  <c r="U85" i="17" s="1"/>
  <c r="S82" i="17"/>
  <c r="S81" i="17" s="1"/>
  <c r="T82" i="17"/>
  <c r="T81" i="17" s="1"/>
  <c r="U82" i="17"/>
  <c r="U81" i="17" s="1"/>
  <c r="S79" i="17"/>
  <c r="S78" i="17" s="1"/>
  <c r="T79" i="17"/>
  <c r="T78" i="17" s="1"/>
  <c r="U79" i="17"/>
  <c r="U78" i="17" s="1"/>
  <c r="S76" i="17"/>
  <c r="T76" i="17"/>
  <c r="U76" i="17"/>
  <c r="S73" i="17"/>
  <c r="T73" i="17"/>
  <c r="U73" i="17"/>
  <c r="S71" i="17"/>
  <c r="T71" i="17"/>
  <c r="U71" i="17"/>
  <c r="S67" i="17"/>
  <c r="T67" i="17"/>
  <c r="U67" i="17"/>
  <c r="S65" i="17"/>
  <c r="T65" i="17"/>
  <c r="U65" i="17"/>
  <c r="S63" i="17"/>
  <c r="T63" i="17"/>
  <c r="U63" i="17"/>
  <c r="S50" i="17"/>
  <c r="T50" i="17"/>
  <c r="U50" i="17"/>
  <c r="R50" i="17"/>
  <c r="S60" i="17"/>
  <c r="T60" i="17"/>
  <c r="U60" i="17"/>
  <c r="S58" i="17"/>
  <c r="T58" i="17"/>
  <c r="U58" i="17"/>
  <c r="S55" i="17"/>
  <c r="T55" i="17"/>
  <c r="U55" i="17"/>
  <c r="S53" i="17"/>
  <c r="T53" i="17"/>
  <c r="U53" i="17"/>
  <c r="S47" i="17"/>
  <c r="T47" i="17"/>
  <c r="U47" i="17"/>
  <c r="R47" i="17"/>
  <c r="S42" i="17"/>
  <c r="T42" i="17"/>
  <c r="U42" i="17"/>
  <c r="S38" i="17"/>
  <c r="T38" i="17"/>
  <c r="U38" i="17"/>
  <c r="S36" i="17"/>
  <c r="T36" i="17"/>
  <c r="U36" i="17"/>
  <c r="S34" i="17"/>
  <c r="T34" i="17"/>
  <c r="U34" i="17"/>
  <c r="S30" i="17"/>
  <c r="S29" i="17" s="1"/>
  <c r="S28" i="17" s="1"/>
  <c r="T30" i="17"/>
  <c r="T29" i="17" s="1"/>
  <c r="T28" i="17" s="1"/>
  <c r="U30" i="17"/>
  <c r="U29" i="17" s="1"/>
  <c r="U28" i="17" s="1"/>
  <c r="S24" i="17"/>
  <c r="S23" i="17" s="1"/>
  <c r="S22" i="17" s="1"/>
  <c r="S21" i="17" s="1"/>
  <c r="S20" i="17" s="1"/>
  <c r="T24" i="17"/>
  <c r="T23" i="17" s="1"/>
  <c r="T22" i="17" s="1"/>
  <c r="T21" i="17" s="1"/>
  <c r="T20" i="17" s="1"/>
  <c r="U24" i="17"/>
  <c r="U23" i="17" s="1"/>
  <c r="U22" i="17" s="1"/>
  <c r="U21" i="17" s="1"/>
  <c r="U20" i="17" s="1"/>
  <c r="S16" i="17"/>
  <c r="S15" i="17" s="1"/>
  <c r="T16" i="17"/>
  <c r="T15" i="17" s="1"/>
  <c r="U16" i="17"/>
  <c r="U15" i="17" s="1"/>
  <c r="S12" i="17"/>
  <c r="S11" i="17" s="1"/>
  <c r="T12" i="17"/>
  <c r="T11" i="17" s="1"/>
  <c r="U12" i="17"/>
  <c r="U11" i="17" s="1"/>
  <c r="R46" i="17" l="1"/>
  <c r="S7" i="20"/>
  <c r="AJ7" i="20" s="1"/>
  <c r="Z38" i="17"/>
  <c r="Z58" i="17"/>
  <c r="Z50" i="17"/>
  <c r="Z47" i="17"/>
  <c r="Z114" i="17"/>
  <c r="Z81" i="17"/>
  <c r="Z190" i="17"/>
  <c r="Z106" i="17"/>
  <c r="T52" i="17"/>
  <c r="Z34" i="17"/>
  <c r="Z53" i="17"/>
  <c r="Z60" i="17"/>
  <c r="Z71" i="17"/>
  <c r="Z78" i="17"/>
  <c r="Z99" i="17"/>
  <c r="S92" i="17"/>
  <c r="S75" i="17" s="1"/>
  <c r="Z208" i="17"/>
  <c r="Z218" i="17"/>
  <c r="Z166" i="17"/>
  <c r="Z36" i="17"/>
  <c r="Z215" i="17"/>
  <c r="Z55" i="17"/>
  <c r="Z28" i="17"/>
  <c r="Z42" i="17"/>
  <c r="Z73" i="17"/>
  <c r="Z85" i="17"/>
  <c r="Z164" i="17"/>
  <c r="Z65" i="17"/>
  <c r="Z76" i="17"/>
  <c r="Z177" i="17"/>
  <c r="Z15" i="17"/>
  <c r="Z20" i="17"/>
  <c r="Z67" i="17"/>
  <c r="Z95" i="17"/>
  <c r="Z112" i="17"/>
  <c r="Z180" i="17"/>
  <c r="Z204" i="17"/>
  <c r="Z196" i="17"/>
  <c r="Z11" i="17"/>
  <c r="Z63" i="17"/>
  <c r="Z103" i="17"/>
  <c r="Z192" i="17"/>
  <c r="Z211" i="17"/>
  <c r="Z86" i="17"/>
  <c r="Z22" i="17"/>
  <c r="U92" i="17"/>
  <c r="U75" i="17" s="1"/>
  <c r="Z205" i="17"/>
  <c r="Z29" i="17"/>
  <c r="Z21" i="17"/>
  <c r="U33" i="17"/>
  <c r="U32" i="17" s="1"/>
  <c r="S57" i="17"/>
  <c r="T176" i="17"/>
  <c r="Z216" i="17"/>
  <c r="Z212" i="17"/>
  <c r="Z24" i="17"/>
  <c r="Z16" i="17"/>
  <c r="Z12" i="17"/>
  <c r="Z82" i="17"/>
  <c r="Z30" i="17"/>
  <c r="T111" i="17"/>
  <c r="Z209" i="17"/>
  <c r="Z93" i="17"/>
  <c r="Z183" i="17"/>
  <c r="Z107" i="17"/>
  <c r="Z79" i="17"/>
  <c r="Z23" i="17"/>
  <c r="S33" i="17"/>
  <c r="S32" i="17" s="1"/>
  <c r="U57" i="17"/>
  <c r="S62" i="17"/>
  <c r="T70" i="17"/>
  <c r="S189" i="17"/>
  <c r="S188" i="17" s="1"/>
  <c r="T33" i="17"/>
  <c r="U52" i="17"/>
  <c r="T57" i="17"/>
  <c r="S70" i="17"/>
  <c r="U111" i="17"/>
  <c r="U110" i="17" s="1"/>
  <c r="S176" i="17"/>
  <c r="T46" i="17"/>
  <c r="U62" i="17"/>
  <c r="U189" i="17"/>
  <c r="U188" i="17" s="1"/>
  <c r="S52" i="17"/>
  <c r="T62" i="17"/>
  <c r="U70" i="17"/>
  <c r="T92" i="17"/>
  <c r="S111" i="17"/>
  <c r="S110" i="17" s="1"/>
  <c r="U176" i="17"/>
  <c r="T189" i="17"/>
  <c r="S203" i="17"/>
  <c r="U203" i="17"/>
  <c r="T203" i="17"/>
  <c r="S98" i="17"/>
  <c r="U98" i="17"/>
  <c r="T98" i="17"/>
  <c r="S46" i="17"/>
  <c r="U46" i="17"/>
  <c r="S10" i="17"/>
  <c r="S9" i="17" s="1"/>
  <c r="S8" i="17" s="1"/>
  <c r="U10" i="17"/>
  <c r="U9" i="17" s="1"/>
  <c r="U8" i="17" s="1"/>
  <c r="T10" i="17"/>
  <c r="R177" i="17"/>
  <c r="T339" i="17"/>
  <c r="T336" i="17"/>
  <c r="T334" i="17"/>
  <c r="T332" i="17"/>
  <c r="T330" i="17"/>
  <c r="T322" i="17"/>
  <c r="T321" i="17" s="1"/>
  <c r="T345" i="17"/>
  <c r="T344" i="17" s="1"/>
  <c r="T385" i="17"/>
  <c r="T384" i="17" s="1"/>
  <c r="Z57" i="17" l="1"/>
  <c r="Z70" i="17"/>
  <c r="Z98" i="17"/>
  <c r="Z52" i="17"/>
  <c r="Z10" i="17"/>
  <c r="Z92" i="17"/>
  <c r="Z189" i="17"/>
  <c r="Z33" i="17"/>
  <c r="T110" i="17"/>
  <c r="Z110" i="17" s="1"/>
  <c r="Z111" i="17"/>
  <c r="Z176" i="17"/>
  <c r="Z46" i="17"/>
  <c r="T45" i="17"/>
  <c r="Z203" i="17"/>
  <c r="Z62" i="17"/>
  <c r="T343" i="17"/>
  <c r="T342" i="17" s="1"/>
  <c r="T341" i="17" s="1"/>
  <c r="T9" i="17"/>
  <c r="Z9" i="17" s="1"/>
  <c r="U45" i="17"/>
  <c r="U27" i="17" s="1"/>
  <c r="T75" i="17"/>
  <c r="Z75" i="17" s="1"/>
  <c r="T188" i="17"/>
  <c r="Z188" i="17" s="1"/>
  <c r="T32" i="17"/>
  <c r="Z32" i="17" s="1"/>
  <c r="S45" i="17"/>
  <c r="S27" i="17" s="1"/>
  <c r="T329" i="17"/>
  <c r="T328" i="17" s="1"/>
  <c r="T327" i="17" s="1"/>
  <c r="Z45" i="17" l="1"/>
  <c r="T8" i="17"/>
  <c r="Z8" i="17" s="1"/>
  <c r="T27" i="17"/>
  <c r="Z27" i="17" s="1"/>
  <c r="U162" i="17"/>
  <c r="U160" i="17"/>
  <c r="U158" i="17"/>
  <c r="U154" i="17"/>
  <c r="U137" i="17"/>
  <c r="U136" i="17"/>
  <c r="T136" i="17"/>
  <c r="U135" i="17"/>
  <c r="U134" i="17"/>
  <c r="U121" i="17"/>
  <c r="U120" i="17"/>
  <c r="U119" i="17"/>
  <c r="T162" i="17"/>
  <c r="T160" i="17"/>
  <c r="T158" i="17"/>
  <c r="Z158" i="17" s="1"/>
  <c r="Z155" i="17"/>
  <c r="T154" i="17"/>
  <c r="T137" i="17"/>
  <c r="T135" i="17"/>
  <c r="T134" i="17"/>
  <c r="T121" i="17"/>
  <c r="T120" i="17"/>
  <c r="T119" i="17"/>
  <c r="J4" i="18"/>
  <c r="J5" i="18"/>
  <c r="J6" i="18"/>
  <c r="J7" i="18"/>
  <c r="J8" i="18"/>
  <c r="J9" i="18"/>
  <c r="J10" i="18"/>
  <c r="J11" i="18"/>
  <c r="J3" i="18"/>
  <c r="H4" i="18"/>
  <c r="H5" i="18"/>
  <c r="H6" i="18"/>
  <c r="H7" i="18"/>
  <c r="H8" i="18"/>
  <c r="H9" i="18"/>
  <c r="H10" i="18"/>
  <c r="H11" i="18"/>
  <c r="H3" i="18"/>
  <c r="T252" i="17"/>
  <c r="T319" i="17"/>
  <c r="T318" i="17" s="1"/>
  <c r="T317" i="17" s="1"/>
  <c r="T314" i="17"/>
  <c r="T313" i="17" s="1"/>
  <c r="T312" i="17" s="1"/>
  <c r="T304" i="17"/>
  <c r="T301" i="17"/>
  <c r="T291" i="17"/>
  <c r="T290" i="17" s="1"/>
  <c r="T289" i="17" s="1"/>
  <c r="T286" i="17"/>
  <c r="T285" i="17" s="1"/>
  <c r="T284" i="17" s="1"/>
  <c r="T282" i="17"/>
  <c r="T281" i="17" s="1"/>
  <c r="T279" i="17"/>
  <c r="T274" i="17"/>
  <c r="T273" i="17" s="1"/>
  <c r="T272" i="17" s="1"/>
  <c r="T266" i="17"/>
  <c r="T260" i="17"/>
  <c r="T247" i="17"/>
  <c r="T244" i="17"/>
  <c r="T241" i="17"/>
  <c r="T240" i="17" s="1"/>
  <c r="T238" i="17"/>
  <c r="T235" i="17"/>
  <c r="T231" i="17"/>
  <c r="T230" i="17" s="1"/>
  <c r="T228" i="17"/>
  <c r="T227" i="17" s="1"/>
  <c r="T225" i="17"/>
  <c r="T224" i="17" s="1"/>
  <c r="U384" i="17"/>
  <c r="U344" i="17"/>
  <c r="U339" i="17"/>
  <c r="U336" i="17"/>
  <c r="U331" i="17"/>
  <c r="U329" i="17"/>
  <c r="U328" i="17" s="1"/>
  <c r="U321" i="17"/>
  <c r="U319" i="17"/>
  <c r="U318" i="17" s="1"/>
  <c r="U317" i="17" s="1"/>
  <c r="U314" i="17"/>
  <c r="U313" i="17" s="1"/>
  <c r="U312" i="17" s="1"/>
  <c r="U304" i="17"/>
  <c r="U301" i="17"/>
  <c r="U291" i="17"/>
  <c r="U290" i="17" s="1"/>
  <c r="U289" i="17" s="1"/>
  <c r="U286" i="17"/>
  <c r="U285" i="17" s="1"/>
  <c r="U284" i="17" s="1"/>
  <c r="U282" i="17"/>
  <c r="U281" i="17" s="1"/>
  <c r="U279" i="17"/>
  <c r="U274" i="17"/>
  <c r="U273" i="17" s="1"/>
  <c r="U272" i="17" s="1"/>
  <c r="U266" i="17"/>
  <c r="U260" i="17"/>
  <c r="U252" i="17"/>
  <c r="U247" i="17"/>
  <c r="U244" i="17"/>
  <c r="U241" i="17"/>
  <c r="U240" i="17" s="1"/>
  <c r="U238" i="17"/>
  <c r="U235" i="17"/>
  <c r="U231" i="17"/>
  <c r="U230" i="17" s="1"/>
  <c r="U228" i="17"/>
  <c r="U227" i="17" s="1"/>
  <c r="U225" i="17"/>
  <c r="U224" i="17" s="1"/>
  <c r="U186" i="17"/>
  <c r="U185" i="17" s="1"/>
  <c r="U182" i="17" s="1"/>
  <c r="Z143" i="17"/>
  <c r="U109" i="17"/>
  <c r="T186" i="17"/>
  <c r="T142" i="17"/>
  <c r="Z142" i="17" s="1"/>
  <c r="T141" i="17"/>
  <c r="Z141" i="17" s="1"/>
  <c r="T140" i="17"/>
  <c r="Z140" i="17" s="1"/>
  <c r="T139" i="17"/>
  <c r="Z139" i="17" s="1"/>
  <c r="T138" i="17"/>
  <c r="Z138" i="17" s="1"/>
  <c r="T109" i="17"/>
  <c r="Z121" i="17" l="1"/>
  <c r="Z135" i="17"/>
  <c r="Z134" i="17"/>
  <c r="Z119" i="17"/>
  <c r="Z120" i="17"/>
  <c r="U278" i="17"/>
  <c r="U277" i="17" s="1"/>
  <c r="Z154" i="17"/>
  <c r="Z156" i="17"/>
  <c r="T185" i="17"/>
  <c r="T182" i="17" s="1"/>
  <c r="U343" i="17"/>
  <c r="U342" i="17" s="1"/>
  <c r="U341" i="17" s="1"/>
  <c r="T300" i="17"/>
  <c r="T288" i="17" s="1"/>
  <c r="Z137" i="17"/>
  <c r="Z136" i="17"/>
  <c r="U276" i="17"/>
  <c r="U243" i="17"/>
  <c r="T243" i="17"/>
  <c r="U300" i="17"/>
  <c r="U288" i="17" s="1"/>
  <c r="U327" i="17"/>
  <c r="T278" i="17"/>
  <c r="T277" i="17" s="1"/>
  <c r="T276" i="17" s="1"/>
  <c r="T125" i="17"/>
  <c r="U125" i="17"/>
  <c r="U124" i="17" s="1"/>
  <c r="U123" i="17" s="1"/>
  <c r="U234" i="17"/>
  <c r="U223" i="17" s="1"/>
  <c r="T118" i="17"/>
  <c r="U118" i="17"/>
  <c r="U117" i="17" s="1"/>
  <c r="T251" i="17"/>
  <c r="T250" i="17" s="1"/>
  <c r="T234" i="17"/>
  <c r="T223" i="17" s="1"/>
  <c r="U251" i="17"/>
  <c r="U250" i="17" s="1"/>
  <c r="Z118" i="17" l="1"/>
  <c r="T222" i="17"/>
  <c r="U222" i="17"/>
  <c r="U116" i="17"/>
  <c r="U97" i="17" s="1"/>
  <c r="U26" i="17" s="1"/>
  <c r="U7" i="17" s="1"/>
  <c r="T249" i="17"/>
  <c r="T124" i="17"/>
  <c r="T117" i="17"/>
  <c r="Z117" i="17" s="1"/>
  <c r="U249" i="17"/>
  <c r="T221" i="17" l="1"/>
  <c r="T220" i="17" s="1"/>
  <c r="U221" i="17"/>
  <c r="U220" i="17" s="1"/>
  <c r="T123" i="17"/>
  <c r="T5" i="17" l="1"/>
  <c r="Q220" i="17"/>
  <c r="T116" i="17"/>
  <c r="T97" i="17" s="1"/>
  <c r="R173" i="17"/>
  <c r="R171" i="17"/>
  <c r="R170" i="17"/>
  <c r="R168" i="17"/>
  <c r="T26" i="17" l="1"/>
  <c r="S393" i="17"/>
  <c r="S382" i="17"/>
  <c r="S356" i="17"/>
  <c r="T7" i="17" l="1"/>
  <c r="S269" i="17"/>
  <c r="S296" i="17"/>
  <c r="Q7" i="17" l="1"/>
  <c r="R12" i="17"/>
  <c r="R11" i="17" s="1"/>
  <c r="R16" i="17"/>
  <c r="R15" i="17" s="1"/>
  <c r="R25" i="17"/>
  <c r="R24" i="17" s="1"/>
  <c r="R23" i="17" s="1"/>
  <c r="R22" i="17" s="1"/>
  <c r="R21" i="17" s="1"/>
  <c r="R20" i="17" s="1"/>
  <c r="R30" i="17"/>
  <c r="R29" i="17" s="1"/>
  <c r="R28" i="17" s="1"/>
  <c r="R34" i="17"/>
  <c r="R36" i="17"/>
  <c r="R38" i="17"/>
  <c r="R42" i="17"/>
  <c r="R53" i="17"/>
  <c r="R55" i="17"/>
  <c r="R58" i="17"/>
  <c r="R60" i="17"/>
  <c r="R63" i="17"/>
  <c r="R65" i="17"/>
  <c r="R67" i="17"/>
  <c r="R71" i="17"/>
  <c r="R73" i="17"/>
  <c r="R76" i="17"/>
  <c r="R79" i="17"/>
  <c r="R78" i="17" s="1"/>
  <c r="R82" i="17"/>
  <c r="R81" i="17" s="1"/>
  <c r="R86" i="17"/>
  <c r="R85" i="17" s="1"/>
  <c r="R93" i="17"/>
  <c r="R95" i="17"/>
  <c r="R99" i="17"/>
  <c r="R107" i="17"/>
  <c r="R106" i="17" s="1"/>
  <c r="R118" i="17"/>
  <c r="R117" i="17" s="1"/>
  <c r="R166" i="17"/>
  <c r="R180" i="17"/>
  <c r="R176" i="17" s="1"/>
  <c r="R205" i="17"/>
  <c r="R204" i="17" s="1"/>
  <c r="R209" i="17"/>
  <c r="R208" i="17" s="1"/>
  <c r="R212" i="17"/>
  <c r="R211" i="17" s="1"/>
  <c r="R216" i="17"/>
  <c r="R215" i="17" s="1"/>
  <c r="R218" i="17"/>
  <c r="R225" i="17"/>
  <c r="R224" i="17" s="1"/>
  <c r="R228" i="17"/>
  <c r="R227" i="17" s="1"/>
  <c r="R231" i="17"/>
  <c r="R230" i="17" s="1"/>
  <c r="R235" i="17"/>
  <c r="R238" i="17"/>
  <c r="R241" i="17"/>
  <c r="R240" i="17" s="1"/>
  <c r="R244" i="17"/>
  <c r="R247" i="17"/>
  <c r="R254" i="17"/>
  <c r="R257" i="17"/>
  <c r="R260" i="17"/>
  <c r="R266" i="17"/>
  <c r="R274" i="17"/>
  <c r="R273" i="17" s="1"/>
  <c r="R272" i="17" s="1"/>
  <c r="R279" i="17"/>
  <c r="R282" i="17"/>
  <c r="R281" i="17" s="1"/>
  <c r="R286" i="17"/>
  <c r="R285" i="17" s="1"/>
  <c r="R284" i="17" s="1"/>
  <c r="R291" i="17"/>
  <c r="R290" i="17" s="1"/>
  <c r="R289" i="17" s="1"/>
  <c r="R301" i="17"/>
  <c r="R307" i="17"/>
  <c r="R304" i="17" s="1"/>
  <c r="R314" i="17"/>
  <c r="R313" i="17" s="1"/>
  <c r="R312" i="17" s="1"/>
  <c r="R319" i="17"/>
  <c r="R318" i="17" s="1"/>
  <c r="R317" i="17" s="1"/>
  <c r="R321" i="17"/>
  <c r="R329" i="17"/>
  <c r="R328" i="17" s="1"/>
  <c r="R331" i="17"/>
  <c r="R336" i="17"/>
  <c r="R339" i="17"/>
  <c r="R344" i="17"/>
  <c r="R384" i="17"/>
  <c r="S160" i="17"/>
  <c r="Z160" i="17" s="1"/>
  <c r="S161" i="17"/>
  <c r="Z161" i="17" s="1"/>
  <c r="S162" i="17"/>
  <c r="Z162" i="17" s="1"/>
  <c r="S186" i="17"/>
  <c r="Z186" i="17" s="1"/>
  <c r="S225" i="17"/>
  <c r="S224" i="17" s="1"/>
  <c r="S228" i="17"/>
  <c r="S227" i="17" s="1"/>
  <c r="S231" i="17"/>
  <c r="S230" i="17" s="1"/>
  <c r="S235" i="17"/>
  <c r="S238" i="17"/>
  <c r="S241" i="17"/>
  <c r="S240" i="17" s="1"/>
  <c r="S244" i="17"/>
  <c r="S247" i="17"/>
  <c r="S260" i="17"/>
  <c r="S266" i="17"/>
  <c r="S274" i="17"/>
  <c r="S273" i="17" s="1"/>
  <c r="S272" i="17" s="1"/>
  <c r="S279" i="17"/>
  <c r="S282" i="17"/>
  <c r="S281" i="17" s="1"/>
  <c r="S286" i="17"/>
  <c r="S285" i="17" s="1"/>
  <c r="S284" i="17" s="1"/>
  <c r="S293" i="17"/>
  <c r="S295" i="17"/>
  <c r="S303" i="17"/>
  <c r="S306" i="17"/>
  <c r="S308" i="17"/>
  <c r="S309" i="17"/>
  <c r="S310" i="17"/>
  <c r="S314" i="17"/>
  <c r="S313" i="17" s="1"/>
  <c r="S312" i="17" s="1"/>
  <c r="S320" i="17"/>
  <c r="S319" i="17" s="1"/>
  <c r="S318" i="17" s="1"/>
  <c r="S317" i="17" s="1"/>
  <c r="S322" i="17"/>
  <c r="S325" i="17"/>
  <c r="S330" i="17"/>
  <c r="S332" i="17"/>
  <c r="S334" i="17"/>
  <c r="S336" i="17"/>
  <c r="S339" i="17"/>
  <c r="S345" i="17"/>
  <c r="S344" i="17" s="1"/>
  <c r="S385" i="17"/>
  <c r="S384" i="17" s="1"/>
  <c r="V341" i="17"/>
  <c r="R57" i="17" l="1"/>
  <c r="R52" i="17"/>
  <c r="R203" i="17"/>
  <c r="R98" i="17"/>
  <c r="S125" i="17"/>
  <c r="Z125" i="17" s="1"/>
  <c r="S185" i="17"/>
  <c r="R278" i="17"/>
  <c r="R277" i="17" s="1"/>
  <c r="R276" i="17" s="1"/>
  <c r="S301" i="17"/>
  <c r="X303" i="17"/>
  <c r="R252" i="17"/>
  <c r="R251" i="17" s="1"/>
  <c r="R250" i="17" s="1"/>
  <c r="S291" i="17"/>
  <c r="S290" i="17" s="1"/>
  <c r="S289" i="17" s="1"/>
  <c r="R10" i="17"/>
  <c r="R9" i="17" s="1"/>
  <c r="R8" i="17" s="1"/>
  <c r="R234" i="17"/>
  <c r="R223" i="17" s="1"/>
  <c r="R243" i="17"/>
  <c r="R33" i="17"/>
  <c r="R32" i="17" s="1"/>
  <c r="R109" i="17"/>
  <c r="R92" i="17"/>
  <c r="R75" i="17" s="1"/>
  <c r="R327" i="17"/>
  <c r="R62" i="17"/>
  <c r="R343" i="17"/>
  <c r="R342" i="17" s="1"/>
  <c r="R341" i="17" s="1"/>
  <c r="R300" i="17"/>
  <c r="R288" i="17" s="1"/>
  <c r="R124" i="17"/>
  <c r="R123" i="17" s="1"/>
  <c r="R70" i="17"/>
  <c r="S252" i="17"/>
  <c r="S251" i="17" s="1"/>
  <c r="S250" i="17" s="1"/>
  <c r="S109" i="17"/>
  <c r="Z109" i="17" s="1"/>
  <c r="S234" i="17"/>
  <c r="S223" i="17" s="1"/>
  <c r="S278" i="17"/>
  <c r="S277" i="17" s="1"/>
  <c r="S276" i="17" s="1"/>
  <c r="S329" i="17"/>
  <c r="S328" i="17" s="1"/>
  <c r="S327" i="17" s="1"/>
  <c r="S304" i="17"/>
  <c r="S321" i="17"/>
  <c r="S243" i="17"/>
  <c r="S343" i="17"/>
  <c r="S342" i="17" s="1"/>
  <c r="S341" i="17" s="1"/>
  <c r="Z185" i="17" l="1"/>
  <c r="S182" i="17"/>
  <c r="Z182" i="17" s="1"/>
  <c r="R116" i="17"/>
  <c r="R97" i="17" s="1"/>
  <c r="S124" i="17"/>
  <c r="Z124" i="17" s="1"/>
  <c r="S300" i="17"/>
  <c r="S288" i="17" s="1"/>
  <c r="S249" i="17" s="1"/>
  <c r="R222" i="17"/>
  <c r="R45" i="17"/>
  <c r="R27" i="17" s="1"/>
  <c r="R249" i="17"/>
  <c r="S222" i="17"/>
  <c r="R26" i="17" l="1"/>
  <c r="R7" i="17" s="1"/>
  <c r="S123" i="17"/>
  <c r="Z123" i="17" s="1"/>
  <c r="R221" i="17"/>
  <c r="R220" i="17" s="1"/>
  <c r="R5" i="17" s="1"/>
  <c r="S221" i="17"/>
  <c r="S220" i="17" s="1"/>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M43" i="19"/>
  <c r="L43" i="19"/>
  <c r="L42" i="19"/>
  <c r="L41" i="19"/>
  <c r="L40" i="19"/>
  <c r="L39" i="19"/>
  <c r="L38" i="19"/>
  <c r="L37" i="19"/>
  <c r="L36" i="19"/>
  <c r="L35" i="19"/>
  <c r="L34" i="19"/>
  <c r="L33" i="19"/>
  <c r="L32" i="19"/>
  <c r="L31" i="19"/>
  <c r="L30" i="19"/>
  <c r="L29" i="19"/>
  <c r="L28" i="19"/>
  <c r="M27" i="19"/>
  <c r="L27" i="19"/>
  <c r="M26" i="19"/>
  <c r="L26" i="19"/>
  <c r="M25" i="19"/>
  <c r="L25" i="19"/>
  <c r="M24" i="19"/>
  <c r="L24" i="19"/>
  <c r="M23" i="19"/>
  <c r="L23" i="19"/>
  <c r="M22" i="19"/>
  <c r="L22" i="19"/>
  <c r="M21" i="19"/>
  <c r="L21" i="19"/>
  <c r="M20" i="19"/>
  <c r="L20" i="19"/>
  <c r="M19" i="19"/>
  <c r="L19" i="19"/>
  <c r="M18" i="19"/>
  <c r="L18" i="19"/>
  <c r="M17" i="19"/>
  <c r="L17" i="19"/>
  <c r="M16" i="19"/>
  <c r="L16" i="19"/>
  <c r="M15" i="19"/>
  <c r="L15" i="19"/>
  <c r="M14" i="19"/>
  <c r="L14" i="19"/>
  <c r="M13" i="19"/>
  <c r="L13" i="19"/>
  <c r="M12" i="19"/>
  <c r="L12" i="19"/>
  <c r="M11" i="19"/>
  <c r="L11" i="19"/>
  <c r="M10" i="19"/>
  <c r="L10" i="19"/>
  <c r="M9" i="19"/>
  <c r="L9" i="19"/>
  <c r="M8" i="19"/>
  <c r="L8" i="19"/>
  <c r="M7" i="19"/>
  <c r="L7" i="19"/>
  <c r="M6" i="19"/>
  <c r="L6" i="19"/>
  <c r="M5" i="19"/>
  <c r="L5" i="19"/>
  <c r="M4" i="19"/>
  <c r="L4" i="19"/>
  <c r="M3" i="19"/>
  <c r="L3" i="19"/>
  <c r="S116" i="17" l="1"/>
  <c r="Z116" i="17" s="1"/>
  <c r="E11" i="18"/>
  <c r="F11" i="18" s="1"/>
  <c r="E10" i="18"/>
  <c r="F10" i="18" s="1"/>
  <c r="E9" i="18"/>
  <c r="F9" i="18" s="1"/>
  <c r="E8" i="18"/>
  <c r="F8" i="18" s="1"/>
  <c r="E7" i="18"/>
  <c r="F7" i="18" s="1"/>
  <c r="E6" i="18"/>
  <c r="F6" i="18" s="1"/>
  <c r="E5" i="18"/>
  <c r="F5" i="18" s="1"/>
  <c r="E4" i="18"/>
  <c r="F4" i="18" s="1"/>
  <c r="E3" i="18"/>
  <c r="F3" i="18" s="1"/>
  <c r="S97" i="17" l="1"/>
  <c r="Z97" i="17" s="1"/>
  <c r="X308" i="17"/>
  <c r="X306" i="17"/>
  <c r="X257" i="17"/>
  <c r="X198" i="17"/>
  <c r="X194" i="17"/>
  <c r="R274" i="6"/>
  <c r="R254" i="6"/>
  <c r="S26" i="17" l="1"/>
  <c r="Z26" i="17" s="1"/>
  <c r="X255" i="17"/>
  <c r="R294" i="6"/>
  <c r="R293" i="6" s="1"/>
  <c r="S7" i="17" l="1"/>
  <c r="Z7" i="17" s="1"/>
  <c r="R203" i="6"/>
  <c r="V203" i="6" s="1"/>
  <c r="R201" i="6" l="1"/>
  <c r="R329" i="6"/>
  <c r="R327" i="6" s="1"/>
  <c r="R323" i="6"/>
  <c r="R322" i="6"/>
  <c r="R321" i="6"/>
  <c r="V321" i="6" s="1"/>
  <c r="R319" i="6"/>
  <c r="V319" i="6" s="1"/>
  <c r="R316" i="6"/>
  <c r="V316" i="6" s="1"/>
  <c r="R278" i="6"/>
  <c r="R269" i="6"/>
  <c r="R268" i="6"/>
  <c r="R267" i="6"/>
  <c r="V267" i="6" s="1"/>
  <c r="R265" i="6"/>
  <c r="R252" i="6"/>
  <c r="R243" i="6"/>
  <c r="R239" i="6"/>
  <c r="R236" i="6"/>
  <c r="R208" i="6"/>
  <c r="V207" i="6"/>
  <c r="R60" i="6"/>
  <c r="R50" i="6"/>
  <c r="V265" i="6" l="1"/>
  <c r="R262" i="6"/>
  <c r="R17" i="6"/>
  <c r="AA97" i="6" l="1"/>
  <c r="X97" i="6"/>
  <c r="R192" i="6" l="1"/>
  <c r="R119" i="6"/>
  <c r="R39" i="6"/>
  <c r="R308" i="6"/>
  <c r="R307" i="6"/>
  <c r="R306" i="6"/>
  <c r="R305" i="6"/>
  <c r="R303" i="6" l="1"/>
  <c r="R77" i="6"/>
  <c r="R72" i="6"/>
  <c r="R68" i="6"/>
  <c r="R397" i="6" l="1"/>
  <c r="R360" i="6"/>
  <c r="R133" i="6" l="1"/>
  <c r="R132" i="6"/>
  <c r="R131" i="6"/>
  <c r="R130" i="6" l="1"/>
  <c r="R337" i="6" l="1"/>
  <c r="R129" i="6"/>
  <c r="R128" i="6"/>
  <c r="R127" i="6" l="1"/>
  <c r="R126" i="6" s="1"/>
  <c r="T356" i="6" l="1"/>
  <c r="S112" i="6"/>
  <c r="S111" i="6" s="1"/>
  <c r="R291" i="6"/>
  <c r="R290" i="6" s="1"/>
  <c r="R289" i="6" s="1"/>
  <c r="R412" i="15" l="1"/>
  <c r="R411" i="15"/>
  <c r="R410" i="15"/>
  <c r="R409" i="15"/>
  <c r="R408" i="15"/>
  <c r="R407" i="15"/>
  <c r="R406" i="15"/>
  <c r="R405" i="15"/>
  <c r="R402" i="15"/>
  <c r="R401" i="15"/>
  <c r="R400" i="15"/>
  <c r="R399" i="15"/>
  <c r="R394" i="15"/>
  <c r="R393" i="15"/>
  <c r="R392" i="15"/>
  <c r="R389" i="15"/>
  <c r="R387" i="15"/>
  <c r="R385" i="15"/>
  <c r="R384" i="15"/>
  <c r="R383" i="15"/>
  <c r="R382" i="15"/>
  <c r="R381" i="15"/>
  <c r="R380" i="15"/>
  <c r="R379" i="15"/>
  <c r="R378" i="15"/>
  <c r="R377" i="15"/>
  <c r="R376" i="15"/>
  <c r="R375" i="15"/>
  <c r="R374" i="15"/>
  <c r="R373" i="15"/>
  <c r="R372" i="15"/>
  <c r="R371" i="15"/>
  <c r="R370" i="15"/>
  <c r="R369" i="15"/>
  <c r="R360" i="15"/>
  <c r="R358" i="15"/>
  <c r="R357" i="15" s="1"/>
  <c r="R356" i="15" s="1"/>
  <c r="R355" i="15"/>
  <c r="R353" i="15" s="1"/>
  <c r="M352" i="15"/>
  <c r="R351" i="15"/>
  <c r="M350" i="15"/>
  <c r="R349" i="15"/>
  <c r="M348" i="15"/>
  <c r="R347" i="15"/>
  <c r="R343" i="15"/>
  <c r="R342" i="15" s="1"/>
  <c r="R341" i="15"/>
  <c r="R340" i="15" s="1"/>
  <c r="R339" i="15"/>
  <c r="R338" i="15" s="1"/>
  <c r="R335" i="15"/>
  <c r="R334" i="15" s="1"/>
  <c r="R333" i="15" s="1"/>
  <c r="R332" i="15" s="1"/>
  <c r="R331" i="15"/>
  <c r="R330" i="15"/>
  <c r="R325" i="15"/>
  <c r="R324" i="15"/>
  <c r="R323" i="15"/>
  <c r="R322" i="15"/>
  <c r="R321" i="15"/>
  <c r="R320" i="15"/>
  <c r="R319" i="15"/>
  <c r="R318" i="15"/>
  <c r="R317" i="15"/>
  <c r="R313" i="15"/>
  <c r="R312" i="15" s="1"/>
  <c r="R305" i="15"/>
  <c r="R303" i="15"/>
  <c r="R298" i="15"/>
  <c r="R297" i="15" s="1"/>
  <c r="R296" i="15" s="1"/>
  <c r="R295" i="15" s="1"/>
  <c r="R294" i="15"/>
  <c r="R293" i="15" s="1"/>
  <c r="R292" i="15" s="1"/>
  <c r="R290" i="15"/>
  <c r="R286" i="15"/>
  <c r="R285" i="15" s="1"/>
  <c r="R284" i="15" s="1"/>
  <c r="R283" i="15" s="1"/>
  <c r="R282" i="15"/>
  <c r="R280" i="15"/>
  <c r="R270" i="15"/>
  <c r="R267" i="15"/>
  <c r="R266" i="15"/>
  <c r="R264" i="15"/>
  <c r="R263" i="15"/>
  <c r="R261" i="15"/>
  <c r="R260" i="15"/>
  <c r="R255" i="15"/>
  <c r="R254" i="15" s="1"/>
  <c r="T254" i="15"/>
  <c r="R253" i="15"/>
  <c r="R251" i="15" s="1"/>
  <c r="R248" i="15"/>
  <c r="R247" i="15" s="1"/>
  <c r="R245" i="15"/>
  <c r="R243" i="15"/>
  <c r="R242" i="15" s="1"/>
  <c r="R241" i="15" s="1"/>
  <c r="R238" i="15"/>
  <c r="R237" i="15" s="1"/>
  <c r="R235" i="15"/>
  <c r="R234" i="15" s="1"/>
  <c r="R232" i="15"/>
  <c r="R231" i="15" s="1"/>
  <c r="R226" i="15"/>
  <c r="R225" i="15" s="1"/>
  <c r="R223" i="15"/>
  <c r="R222" i="15" s="1"/>
  <c r="R219" i="15"/>
  <c r="R218" i="15" s="1"/>
  <c r="R217" i="15"/>
  <c r="R216" i="15" s="1"/>
  <c r="R215" i="15" s="1"/>
  <c r="R214" i="15"/>
  <c r="R212" i="15" s="1"/>
  <c r="R211" i="15" s="1"/>
  <c r="R207" i="15"/>
  <c r="R203" i="15" s="1"/>
  <c r="R201" i="15"/>
  <c r="R199" i="15"/>
  <c r="R197" i="15"/>
  <c r="R196" i="15" s="1"/>
  <c r="R192" i="15"/>
  <c r="R191" i="15" s="1"/>
  <c r="R189" i="15"/>
  <c r="R186" i="15"/>
  <c r="R185" i="15" s="1"/>
  <c r="R183" i="15"/>
  <c r="R181" i="15" s="1"/>
  <c r="R178" i="15"/>
  <c r="R176" i="15"/>
  <c r="R174" i="15"/>
  <c r="R172" i="15"/>
  <c r="R169" i="15"/>
  <c r="R168" i="15"/>
  <c r="R164" i="15"/>
  <c r="R160" i="15"/>
  <c r="R158" i="15"/>
  <c r="R156" i="15"/>
  <c r="R154" i="15"/>
  <c r="R153" i="15"/>
  <c r="R152" i="15"/>
  <c r="R151" i="15"/>
  <c r="R150" i="15"/>
  <c r="R149" i="15"/>
  <c r="R148" i="15"/>
  <c r="R147" i="15"/>
  <c r="R145" i="15"/>
  <c r="R142" i="15"/>
  <c r="R141" i="15"/>
  <c r="R137" i="15"/>
  <c r="R136" i="15"/>
  <c r="R135" i="15"/>
  <c r="R134" i="15"/>
  <c r="R133" i="15"/>
  <c r="R132" i="15"/>
  <c r="R131" i="15"/>
  <c r="R130" i="15"/>
  <c r="R129" i="15"/>
  <c r="R128" i="15"/>
  <c r="R126" i="15"/>
  <c r="R125" i="15"/>
  <c r="R119" i="15"/>
  <c r="R117" i="15"/>
  <c r="R115" i="15"/>
  <c r="R110" i="15"/>
  <c r="R109" i="15" s="1"/>
  <c r="R108" i="15" s="1"/>
  <c r="R107" i="15" s="1"/>
  <c r="R106" i="15" s="1"/>
  <c r="R105" i="15"/>
  <c r="R104" i="15" s="1"/>
  <c r="R103" i="15" s="1"/>
  <c r="R100" i="15"/>
  <c r="R99" i="15"/>
  <c r="R96" i="15" s="1"/>
  <c r="R93" i="15"/>
  <c r="R92" i="15" s="1"/>
  <c r="R90" i="15"/>
  <c r="R88" i="15"/>
  <c r="R87" i="15"/>
  <c r="R86" i="15"/>
  <c r="R85" i="15"/>
  <c r="R80" i="15"/>
  <c r="R79" i="15" s="1"/>
  <c r="R78" i="15" s="1"/>
  <c r="R77" i="15"/>
  <c r="R76" i="15" s="1"/>
  <c r="R75" i="15" s="1"/>
  <c r="R74" i="15"/>
  <c r="R73" i="15" s="1"/>
  <c r="R70" i="15"/>
  <c r="R69" i="15" s="1"/>
  <c r="R67" i="15"/>
  <c r="R65" i="15"/>
  <c r="R63" i="15"/>
  <c r="R60" i="15"/>
  <c r="R58" i="15"/>
  <c r="R55" i="15"/>
  <c r="R53" i="15"/>
  <c r="R50" i="15"/>
  <c r="R47" i="15"/>
  <c r="R42" i="15"/>
  <c r="R40" i="15"/>
  <c r="R38" i="15" s="1"/>
  <c r="R36" i="15"/>
  <c r="R34" i="15"/>
  <c r="R30" i="15"/>
  <c r="R29" i="15" s="1"/>
  <c r="R28" i="15" s="1"/>
  <c r="R25" i="15"/>
  <c r="R24" i="15"/>
  <c r="R23" i="15"/>
  <c r="R17" i="15"/>
  <c r="R16" i="15" s="1"/>
  <c r="R15" i="15" s="1"/>
  <c r="R14" i="15"/>
  <c r="R12" i="15" s="1"/>
  <c r="R11" i="15" s="1"/>
  <c r="R89" i="15" l="1"/>
  <c r="R171" i="15"/>
  <c r="R346" i="15"/>
  <c r="R345" i="15" s="1"/>
  <c r="R57" i="15"/>
  <c r="R302" i="15"/>
  <c r="R301" i="15" s="1"/>
  <c r="R300" i="15" s="1"/>
  <c r="R329" i="15"/>
  <c r="R328" i="15" s="1"/>
  <c r="R327" i="15" s="1"/>
  <c r="R198" i="15"/>
  <c r="R195" i="15" s="1"/>
  <c r="R194" i="15" s="1"/>
  <c r="R46" i="15"/>
  <c r="R188" i="15"/>
  <c r="R289" i="15"/>
  <c r="R288" i="15" s="1"/>
  <c r="R287" i="15" s="1"/>
  <c r="R398" i="15"/>
  <c r="R397" i="15" s="1"/>
  <c r="R396" i="15" s="1"/>
  <c r="R395" i="15" s="1"/>
  <c r="R33" i="15"/>
  <c r="R32" i="15" s="1"/>
  <c r="R62" i="15"/>
  <c r="R123" i="15"/>
  <c r="R122" i="15" s="1"/>
  <c r="R121" i="15" s="1"/>
  <c r="R230" i="15"/>
  <c r="R368" i="15"/>
  <c r="R367" i="15" s="1"/>
  <c r="R366" i="15" s="1"/>
  <c r="R365" i="15" s="1"/>
  <c r="R259" i="15"/>
  <c r="R22" i="15"/>
  <c r="R21" i="15" s="1"/>
  <c r="R20" i="15" s="1"/>
  <c r="R19" i="15" s="1"/>
  <c r="R18" i="15" s="1"/>
  <c r="R316" i="15"/>
  <c r="R311" i="15" s="1"/>
  <c r="R299" i="15" s="1"/>
  <c r="R52" i="15"/>
  <c r="R250" i="15"/>
  <c r="R337" i="15"/>
  <c r="R336" i="15" s="1"/>
  <c r="R82" i="15"/>
  <c r="R81" i="15" s="1"/>
  <c r="R72" i="15" s="1"/>
  <c r="R276" i="15"/>
  <c r="R114" i="15"/>
  <c r="R113" i="15" s="1"/>
  <c r="R180" i="15"/>
  <c r="R344" i="15"/>
  <c r="R210" i="15"/>
  <c r="R10" i="15"/>
  <c r="R95" i="15"/>
  <c r="R258" i="15" l="1"/>
  <c r="R257" i="15" s="1"/>
  <c r="R45" i="15"/>
  <c r="R364" i="15"/>
  <c r="R363" i="15" s="1"/>
  <c r="R362" i="15" s="1"/>
  <c r="R112" i="15"/>
  <c r="R229" i="15"/>
  <c r="R27" i="15"/>
  <c r="R256" i="15"/>
  <c r="R228" i="15" s="1"/>
  <c r="R227" i="15" s="1"/>
  <c r="R94" i="15"/>
  <c r="R9" i="15"/>
  <c r="R8" i="15" s="1"/>
  <c r="R26" i="15" l="1"/>
  <c r="R7" i="15" s="1"/>
  <c r="R349" i="14"/>
  <c r="R347" i="14"/>
  <c r="R344" i="14"/>
  <c r="R342" i="14"/>
  <c r="R340" i="14"/>
  <c r="R339" i="14"/>
  <c r="R338" i="14"/>
  <c r="R337" i="14"/>
  <c r="R336" i="14"/>
  <c r="R335" i="14"/>
  <c r="R334" i="14"/>
  <c r="R333" i="14"/>
  <c r="R332" i="14"/>
  <c r="R331" i="14"/>
  <c r="R330" i="14"/>
  <c r="R329" i="14"/>
  <c r="R328" i="14"/>
  <c r="R327" i="14"/>
  <c r="R326" i="14"/>
  <c r="R319" i="14"/>
  <c r="R313" i="14"/>
  <c r="R312" i="14"/>
  <c r="R311" i="14"/>
  <c r="R310" i="14"/>
  <c r="R303" i="14"/>
  <c r="R300" i="14"/>
  <c r="M299" i="14"/>
  <c r="R298" i="14"/>
  <c r="M297" i="14"/>
  <c r="R296" i="14"/>
  <c r="M295" i="14"/>
  <c r="R294" i="14"/>
  <c r="R293" i="14" s="1"/>
  <c r="R292" i="14" s="1"/>
  <c r="R291" i="14" s="1"/>
  <c r="R289" i="14"/>
  <c r="R287" i="14"/>
  <c r="R285" i="14"/>
  <c r="R284" i="14" s="1"/>
  <c r="R283" i="14" s="1"/>
  <c r="R282" i="14" s="1"/>
  <c r="R281" i="14"/>
  <c r="R279" i="14" s="1"/>
  <c r="R278" i="14" s="1"/>
  <c r="R277" i="14" s="1"/>
  <c r="R275" i="14"/>
  <c r="R274" i="14"/>
  <c r="R273" i="14"/>
  <c r="R272" i="14"/>
  <c r="R271" i="14"/>
  <c r="R270" i="14"/>
  <c r="R269" i="14"/>
  <c r="R265" i="14"/>
  <c r="R258" i="14"/>
  <c r="R257" i="14" s="1"/>
  <c r="R256" i="14" s="1"/>
  <c r="R253" i="14"/>
  <c r="R252" i="14" s="1"/>
  <c r="R251" i="14" s="1"/>
  <c r="R249" i="14"/>
  <c r="R248" i="14" s="1"/>
  <c r="R247" i="14" s="1"/>
  <c r="R244" i="14"/>
  <c r="R243" i="14" s="1"/>
  <c r="R242" i="14" s="1"/>
  <c r="R237" i="14"/>
  <c r="R233" i="14"/>
  <c r="R226" i="14"/>
  <c r="R225" i="14"/>
  <c r="R219" i="14"/>
  <c r="R217" i="14"/>
  <c r="R214" i="14"/>
  <c r="R213" i="14" s="1"/>
  <c r="R211" i="14"/>
  <c r="R208" i="14"/>
  <c r="R204" i="14"/>
  <c r="R203" i="14" s="1"/>
  <c r="R201" i="14"/>
  <c r="R200" i="14" s="1"/>
  <c r="R198" i="14"/>
  <c r="R197" i="14" s="1"/>
  <c r="R191" i="14"/>
  <c r="R189" i="14"/>
  <c r="R188" i="14" s="1"/>
  <c r="R185" i="14"/>
  <c r="R184" i="14" s="1"/>
  <c r="R182" i="14"/>
  <c r="R181" i="14" s="1"/>
  <c r="R178" i="14"/>
  <c r="R177" i="14" s="1"/>
  <c r="R171" i="14"/>
  <c r="R167" i="14"/>
  <c r="R165" i="14"/>
  <c r="R161" i="14"/>
  <c r="R160" i="14" s="1"/>
  <c r="R159" i="14" s="1"/>
  <c r="R156" i="14"/>
  <c r="R152" i="14"/>
  <c r="R144" i="14"/>
  <c r="R142" i="14"/>
  <c r="R140" i="14"/>
  <c r="R137" i="14"/>
  <c r="R136" i="14"/>
  <c r="R135" i="14"/>
  <c r="R134" i="14"/>
  <c r="R129" i="14"/>
  <c r="R125" i="14"/>
  <c r="R123" i="14"/>
  <c r="R122" i="14"/>
  <c r="R121" i="14"/>
  <c r="R117" i="14"/>
  <c r="R110" i="14"/>
  <c r="R109" i="14"/>
  <c r="R108" i="14" s="1"/>
  <c r="R107" i="14" s="1"/>
  <c r="R104" i="14"/>
  <c r="R103" i="14" s="1"/>
  <c r="R102" i="14" s="1"/>
  <c r="R101" i="14" s="1"/>
  <c r="R100" i="14" s="1"/>
  <c r="R98" i="14"/>
  <c r="R97" i="14" s="1"/>
  <c r="R94" i="14"/>
  <c r="R90" i="14"/>
  <c r="R86" i="14"/>
  <c r="R84" i="14"/>
  <c r="R81" i="14"/>
  <c r="R77" i="14" s="1"/>
  <c r="R76" i="14" s="1"/>
  <c r="R75" i="14"/>
  <c r="R74" i="14" s="1"/>
  <c r="R73" i="14" s="1"/>
  <c r="R71" i="14"/>
  <c r="R70" i="14" s="1"/>
  <c r="R67" i="14"/>
  <c r="R66" i="14" s="1"/>
  <c r="R64" i="14"/>
  <c r="R62" i="14"/>
  <c r="R60" i="14"/>
  <c r="R57" i="14"/>
  <c r="R55" i="14"/>
  <c r="R52" i="14"/>
  <c r="R50" i="14"/>
  <c r="R49" i="14" s="1"/>
  <c r="R47" i="14"/>
  <c r="R44" i="14"/>
  <c r="R43" i="14" s="1"/>
  <c r="R39" i="14"/>
  <c r="R36" i="14"/>
  <c r="R34" i="14"/>
  <c r="R32" i="14"/>
  <c r="R28" i="14"/>
  <c r="R27" i="14" s="1"/>
  <c r="R26" i="14" s="1"/>
  <c r="R22" i="14"/>
  <c r="R21" i="14" s="1"/>
  <c r="R20" i="14" s="1"/>
  <c r="R19" i="14" s="1"/>
  <c r="R18" i="14" s="1"/>
  <c r="R16" i="14"/>
  <c r="R15" i="14" s="1"/>
  <c r="R12" i="14"/>
  <c r="R11" i="14" s="1"/>
  <c r="R246" i="14" l="1"/>
  <c r="R216" i="14"/>
  <c r="R164" i="14"/>
  <c r="R163" i="14" s="1"/>
  <c r="R10" i="14"/>
  <c r="R9" i="14" s="1"/>
  <c r="R8" i="14" s="1"/>
  <c r="R83" i="14"/>
  <c r="R207" i="14"/>
  <c r="R196" i="14" s="1"/>
  <c r="R195" i="14" s="1"/>
  <c r="R89" i="14"/>
  <c r="R286" i="14"/>
  <c r="R309" i="14"/>
  <c r="R308" i="14" s="1"/>
  <c r="T308" i="14" s="1"/>
  <c r="R268" i="14"/>
  <c r="R264" i="14" s="1"/>
  <c r="R255" i="14" s="1"/>
  <c r="R224" i="14"/>
  <c r="R223" i="14" s="1"/>
  <c r="R222" i="14" s="1"/>
  <c r="R325" i="14"/>
  <c r="R324" i="14" s="1"/>
  <c r="T324" i="14" s="1"/>
  <c r="R114" i="14"/>
  <c r="R113" i="14" s="1"/>
  <c r="R112" i="14" s="1"/>
  <c r="R31" i="14"/>
  <c r="R30" i="14" s="1"/>
  <c r="R151" i="14"/>
  <c r="R54" i="14"/>
  <c r="R69" i="14"/>
  <c r="R59" i="14"/>
  <c r="R176" i="14"/>
  <c r="R221" i="14" l="1"/>
  <c r="R194" i="14"/>
  <c r="R193" i="14" s="1"/>
  <c r="T193" i="14" s="1"/>
  <c r="R106" i="14"/>
  <c r="R88" i="14" s="1"/>
  <c r="R42" i="14"/>
  <c r="R25" i="14" s="1"/>
  <c r="R24" i="14" s="1"/>
  <c r="R7" i="14" s="1"/>
  <c r="T7" i="14" s="1"/>
  <c r="R307" i="14"/>
  <c r="R306" i="14" s="1"/>
  <c r="R305" i="14" s="1"/>
  <c r="T305" i="14" s="1"/>
  <c r="S359" i="6"/>
  <c r="S396" i="6"/>
  <c r="S354" i="6"/>
  <c r="S351" i="6"/>
  <c r="S344" i="6"/>
  <c r="S343" i="6" s="1"/>
  <c r="S336" i="6"/>
  <c r="S253" i="6"/>
  <c r="R332" i="6"/>
  <c r="R331" i="6" s="1"/>
  <c r="S331" i="6"/>
  <c r="S330" i="6" s="1"/>
  <c r="S326" i="6"/>
  <c r="S325" i="6" s="1"/>
  <c r="S313" i="6"/>
  <c r="S302" i="6"/>
  <c r="S301" i="6" s="1"/>
  <c r="S297" i="6"/>
  <c r="S296" i="6" s="1"/>
  <c r="S293" i="6"/>
  <c r="S285" i="6"/>
  <c r="S284" i="6" s="1"/>
  <c r="S261" i="6"/>
  <c r="S260" i="6" s="1"/>
  <c r="S244" i="6"/>
  <c r="S240" i="6"/>
  <c r="S237" i="6"/>
  <c r="S234" i="6"/>
  <c r="S198" i="6"/>
  <c r="S197" i="6" s="1"/>
  <c r="S214" i="6"/>
  <c r="S218" i="6"/>
  <c r="S221" i="6"/>
  <c r="S225" i="6"/>
  <c r="S194" i="6"/>
  <c r="S191" i="6" s="1"/>
  <c r="S183" i="6"/>
  <c r="S125" i="6"/>
  <c r="S124" i="6" s="1"/>
  <c r="S118" i="6"/>
  <c r="S110" i="6"/>
  <c r="S107" i="6"/>
  <c r="S99" i="6" s="1"/>
  <c r="S47" i="6"/>
  <c r="S53" i="6"/>
  <c r="S58" i="6"/>
  <c r="S63" i="6"/>
  <c r="S71" i="6"/>
  <c r="S79" i="6"/>
  <c r="S82" i="6"/>
  <c r="S86" i="6"/>
  <c r="S93" i="6"/>
  <c r="S16" i="6"/>
  <c r="S11" i="6"/>
  <c r="S34" i="6"/>
  <c r="S33" i="6" s="1"/>
  <c r="S30" i="6"/>
  <c r="S29" i="6" s="1"/>
  <c r="S24" i="6"/>
  <c r="S23" i="6" s="1"/>
  <c r="S22" i="6" s="1"/>
  <c r="S21" i="6" s="1"/>
  <c r="S342" i="6" l="1"/>
  <c r="S300" i="6"/>
  <c r="S290" i="6"/>
  <c r="S289" i="6" s="1"/>
  <c r="S288" i="6" s="1"/>
  <c r="S358" i="6"/>
  <c r="S357" i="6" s="1"/>
  <c r="S356" i="6" s="1"/>
  <c r="S10" i="6"/>
  <c r="S9" i="6" s="1"/>
  <c r="S8" i="6" s="1"/>
  <c r="S233" i="6"/>
  <c r="S232" i="6" s="1"/>
  <c r="S76" i="6"/>
  <c r="S213" i="6"/>
  <c r="S117" i="6"/>
  <c r="S46" i="6"/>
  <c r="R322" i="9"/>
  <c r="R305" i="9"/>
  <c r="S259" i="6" l="1"/>
  <c r="S231" i="6" s="1"/>
  <c r="S230" i="6" s="1"/>
  <c r="S98" i="6"/>
  <c r="S28" i="6"/>
  <c r="R115" i="6"/>
  <c r="R118" i="6"/>
  <c r="R164" i="6"/>
  <c r="R166" i="6"/>
  <c r="S27" i="6" l="1"/>
  <c r="S7" i="6" s="1"/>
  <c r="R125" i="6"/>
  <c r="R124" i="6" s="1"/>
  <c r="R111" i="6"/>
  <c r="R110" i="6" s="1"/>
  <c r="R113" i="6"/>
  <c r="R112" i="6"/>
  <c r="R396" i="6" l="1"/>
  <c r="R354" i="6"/>
  <c r="R351" i="6"/>
  <c r="R349" i="6"/>
  <c r="R347" i="6"/>
  <c r="R345" i="6"/>
  <c r="R340" i="6"/>
  <c r="R326" i="6"/>
  <c r="R325" i="6" s="1"/>
  <c r="R317" i="6"/>
  <c r="R302" i="6"/>
  <c r="R301" i="6" s="1"/>
  <c r="R298" i="6"/>
  <c r="R297" i="6" s="1"/>
  <c r="R296" i="6" s="1"/>
  <c r="R286" i="6"/>
  <c r="R285" i="6" s="1"/>
  <c r="R284" i="6" s="1"/>
  <c r="R261" i="6"/>
  <c r="R257" i="6"/>
  <c r="R251" i="6"/>
  <c r="R250" i="6" s="1"/>
  <c r="R248" i="6"/>
  <c r="R241" i="6"/>
  <c r="R240" i="6" s="1"/>
  <c r="R238" i="6"/>
  <c r="R237" i="6" s="1"/>
  <c r="R235" i="6"/>
  <c r="R234" i="6" s="1"/>
  <c r="R228" i="6"/>
  <c r="R226" i="6"/>
  <c r="R225" i="6" s="1"/>
  <c r="R219" i="6"/>
  <c r="R218" i="6" s="1"/>
  <c r="R215" i="6"/>
  <c r="R214" i="6" s="1"/>
  <c r="R205" i="6"/>
  <c r="R199" i="6"/>
  <c r="R195" i="6"/>
  <c r="R194" i="6" s="1"/>
  <c r="R191" i="6" s="1"/>
  <c r="R184" i="6"/>
  <c r="R108" i="6"/>
  <c r="R107" i="6" s="1"/>
  <c r="R104" i="6"/>
  <c r="R100" i="6"/>
  <c r="R96" i="6"/>
  <c r="R94" i="6"/>
  <c r="R83" i="6"/>
  <c r="R82" i="6" s="1"/>
  <c r="R80" i="6"/>
  <c r="R79" i="6" s="1"/>
  <c r="R74" i="6"/>
  <c r="R71" i="6" s="1"/>
  <c r="R66" i="6"/>
  <c r="R64" i="6"/>
  <c r="R61" i="6"/>
  <c r="R59" i="6"/>
  <c r="R56" i="6"/>
  <c r="R54" i="6"/>
  <c r="R51" i="6"/>
  <c r="R48" i="6"/>
  <c r="R43" i="6"/>
  <c r="R37" i="6"/>
  <c r="R35" i="6"/>
  <c r="R31" i="6"/>
  <c r="R30" i="6" s="1"/>
  <c r="R29" i="6" s="1"/>
  <c r="R25" i="6"/>
  <c r="R24" i="6" s="1"/>
  <c r="R23" i="6" s="1"/>
  <c r="R22" i="6" s="1"/>
  <c r="R21" i="6" s="1"/>
  <c r="R16" i="6"/>
  <c r="R34" i="6" l="1"/>
  <c r="R33" i="6" s="1"/>
  <c r="R99" i="6"/>
  <c r="R93" i="6"/>
  <c r="R58" i="6"/>
  <c r="R63" i="6"/>
  <c r="R53" i="6"/>
  <c r="R12" i="6"/>
  <c r="R11" i="6" s="1"/>
  <c r="R10" i="6" s="1"/>
  <c r="R9" i="6" s="1"/>
  <c r="R8" i="6" s="1"/>
  <c r="R47" i="6"/>
  <c r="R314" i="6"/>
  <c r="R313" i="6" s="1"/>
  <c r="R300" i="6" s="1"/>
  <c r="R336" i="6"/>
  <c r="R344" i="6"/>
  <c r="R343" i="6" s="1"/>
  <c r="R342" i="6" s="1"/>
  <c r="R359" i="6"/>
  <c r="R358" i="6" s="1"/>
  <c r="R288" i="6"/>
  <c r="R87" i="6"/>
  <c r="R86" i="6" s="1"/>
  <c r="R222" i="6"/>
  <c r="R221" i="6" s="1"/>
  <c r="R213" i="6" s="1"/>
  <c r="R245" i="6"/>
  <c r="R188" i="6"/>
  <c r="R183" i="6" s="1"/>
  <c r="R244" i="6" l="1"/>
  <c r="R233" i="6" s="1"/>
  <c r="R76" i="6"/>
  <c r="R357" i="6"/>
  <c r="R356" i="6" s="1"/>
  <c r="R46" i="6"/>
  <c r="R260" i="6"/>
  <c r="R259" i="6" s="1"/>
  <c r="R28" i="6" l="1"/>
  <c r="R198" i="6" l="1"/>
  <c r="R197" i="6" s="1"/>
  <c r="R117" i="6" s="1"/>
  <c r="R98" i="6" s="1"/>
  <c r="R27" i="6" s="1"/>
  <c r="R7" i="6" l="1"/>
  <c r="R253" i="6" l="1"/>
  <c r="R232" i="6" s="1"/>
  <c r="R231" i="6" s="1"/>
  <c r="R230"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Miller Orlando Moreno Suarez</author>
  </authors>
  <commentList>
    <comment ref="L6" authorId="0" shapeId="0" xr:uid="{00000000-0006-0000-0000-000001000000}">
      <text>
        <r>
          <rPr>
            <sz val="9"/>
            <color indexed="81"/>
            <rFont val="Tahoma"/>
            <family val="2"/>
          </rPr>
          <t>Consulte este código del elemento a adquirir en la página web de "Colombia Compra Eficiente".</t>
        </r>
      </text>
    </comment>
    <comment ref="M6" authorId="0" shapeId="0" xr:uid="{00000000-0006-0000-00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000-000003000000}">
      <text>
        <r>
          <rPr>
            <sz val="9"/>
            <color indexed="81"/>
            <rFont val="Tahoma"/>
            <family val="2"/>
          </rPr>
          <t>Diligencie la fecha cuando se publicará en la pagina del SECOP, dia-mes-año</t>
        </r>
      </text>
    </comment>
    <comment ref="P6" authorId="0" shapeId="0" xr:uid="{00000000-0006-0000-0000-000004000000}">
      <text>
        <r>
          <rPr>
            <sz val="9"/>
            <color indexed="81"/>
            <rFont val="Tahoma"/>
            <family val="2"/>
          </rPr>
          <t>Diligencie el tiempo de duración del contrato en meses</t>
        </r>
      </text>
    </comment>
    <comment ref="Q6" authorId="0" shapeId="0" xr:uid="{00000000-0006-0000-0000-000005000000}">
      <text>
        <r>
          <rPr>
            <sz val="9"/>
            <color indexed="81"/>
            <rFont val="Tahoma"/>
            <family val="2"/>
          </rPr>
          <t>Esta columna la diligencia  Contratos</t>
        </r>
      </text>
    </comment>
    <comment ref="R6" authorId="0" shapeId="0" xr:uid="{00000000-0006-0000-00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000-000007000000}">
      <text>
        <r>
          <rPr>
            <sz val="9"/>
            <color indexed="81"/>
            <rFont val="Tahoma"/>
            <family val="2"/>
          </rPr>
          <t>Indique SI o NO requiere de vigencias futuras</t>
        </r>
      </text>
    </comment>
    <comment ref="V6" authorId="0" shapeId="0" xr:uid="{00000000-0006-0000-0000-000008000000}">
      <text>
        <r>
          <rPr>
            <sz val="9"/>
            <color indexed="81"/>
            <rFont val="Tahoma"/>
            <family val="2"/>
          </rPr>
          <t>Si el elemento a contratar requiere de vigencias futuras del 2025, se ingresa el valor total.</t>
        </r>
      </text>
    </comment>
    <comment ref="R14" authorId="1" shapeId="0" xr:uid="{00000000-0006-0000-00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R115" authorId="1" shapeId="0" xr:uid="{00000000-0006-0000-0000-00000A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R154" authorId="2" shapeId="0" xr:uid="{00000000-0006-0000-0000-00000B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R157" authorId="1" shapeId="0" xr:uid="{00000000-0006-0000-0000-00000C000000}">
      <text>
        <r>
          <rPr>
            <b/>
            <sz val="9"/>
            <color indexed="81"/>
            <rFont val="Tahoma"/>
            <family val="2"/>
          </rPr>
          <t xml:space="preserve">Acuerdo: 002 del 19/03/2024
Valor: $6.800.000
Se recibe de: 
Desagregación presupuestal resolución 0219 del 06/06/2024
</t>
        </r>
      </text>
    </comment>
    <comment ref="R177" authorId="1" shapeId="0" xr:uid="{00000000-0006-0000-0000-00000D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93" authorId="1" shapeId="0" xr:uid="{00000000-0006-0000-0000-00000E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298" authorId="2" shapeId="0" xr:uid="{00000000-0006-0000-0000-00000F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Miller Orlando Moreno Suarez</author>
    <author>Luffi</author>
  </authors>
  <commentList>
    <comment ref="L6" authorId="0" shapeId="0" xr:uid="{00000000-0006-0000-0100-000001000000}">
      <text>
        <r>
          <rPr>
            <sz val="9"/>
            <color indexed="81"/>
            <rFont val="Tahoma"/>
            <family val="2"/>
          </rPr>
          <t>Consulte este código del elemento a adquirir en la página web de "Colombia Compra Eficiente".</t>
        </r>
      </text>
    </comment>
    <comment ref="M6" authorId="0" shapeId="0" xr:uid="{00000000-0006-0000-01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100-000003000000}">
      <text>
        <r>
          <rPr>
            <sz val="9"/>
            <color indexed="81"/>
            <rFont val="Tahoma"/>
            <family val="2"/>
          </rPr>
          <t>Diligencie la fecha cuando se publicará en la pagina del SECOP, dia-mes-año</t>
        </r>
      </text>
    </comment>
    <comment ref="P6" authorId="0" shapeId="0" xr:uid="{00000000-0006-0000-0100-000004000000}">
      <text>
        <r>
          <rPr>
            <sz val="9"/>
            <color indexed="81"/>
            <rFont val="Tahoma"/>
            <family val="2"/>
          </rPr>
          <t>Diligencie el tiempo de duración del contrato en meses</t>
        </r>
      </text>
    </comment>
    <comment ref="Q6" authorId="0" shapeId="0" xr:uid="{00000000-0006-0000-0100-000005000000}">
      <text>
        <r>
          <rPr>
            <sz val="9"/>
            <color indexed="81"/>
            <rFont val="Tahoma"/>
            <family val="2"/>
          </rPr>
          <t>Esta columna la diligencia  Contratos</t>
        </r>
      </text>
    </comment>
    <comment ref="S6" authorId="0" shapeId="0" xr:uid="{00000000-0006-0000-01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W6" authorId="0" shapeId="0" xr:uid="{00000000-0006-0000-0100-000007000000}">
      <text>
        <r>
          <rPr>
            <sz val="9"/>
            <color indexed="81"/>
            <rFont val="Tahoma"/>
            <family val="2"/>
          </rPr>
          <t>Indique SI o NO requiere de vigencias futuras</t>
        </r>
      </text>
    </comment>
    <comment ref="X6" authorId="0" shapeId="0" xr:uid="{00000000-0006-0000-0100-000008000000}">
      <text>
        <r>
          <rPr>
            <sz val="9"/>
            <color indexed="81"/>
            <rFont val="Tahoma"/>
            <family val="2"/>
          </rPr>
          <t>Si el elemento a contratar requiere de vigencias futuras del 2025, se ingresa el valor total.</t>
        </r>
      </text>
    </comment>
    <comment ref="S14" authorId="1" shapeId="0" xr:uid="{00000000-0006-0000-01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R25" authorId="1" shapeId="0" xr:uid="{00000000-0006-0000-0100-00000A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xml:space="preserve">: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
</t>
        </r>
        <r>
          <rPr>
            <b/>
            <sz val="9"/>
            <color indexed="81"/>
            <rFont val="Tahoma"/>
            <family val="2"/>
          </rPr>
          <t xml:space="preserve">Oficio: </t>
        </r>
        <r>
          <rPr>
            <sz val="9"/>
            <color indexed="81"/>
            <rFont val="Tahoma"/>
            <family val="2"/>
          </rPr>
          <t xml:space="preserve">134368  del  20/11/2024
</t>
        </r>
        <r>
          <rPr>
            <b/>
            <sz val="9"/>
            <color indexed="81"/>
            <rFont val="Tahoma"/>
            <family val="2"/>
          </rPr>
          <t>Valor:</t>
        </r>
        <r>
          <rPr>
            <sz val="9"/>
            <color indexed="81"/>
            <rFont val="Tahoma"/>
            <family val="2"/>
          </rPr>
          <t xml:space="preserve">$ 366.700 
</t>
        </r>
        <r>
          <rPr>
            <b/>
            <sz val="9"/>
            <color indexed="81"/>
            <rFont val="Tahoma"/>
            <family val="2"/>
          </rPr>
          <t>Se traslada a:</t>
        </r>
        <r>
          <rPr>
            <sz val="9"/>
            <color indexed="81"/>
            <rFont val="Tahoma"/>
            <family val="2"/>
          </rPr>
          <t xml:space="preserve">A 02 02 02 008 004 01  
SERVICIOS DE TELEFONÍA Y OTRAS TELECOMUNICACIONES SERVICIOS DE TELEFONÍA CELULAR
</t>
        </r>
        <r>
          <rPr>
            <b/>
            <sz val="9"/>
            <color indexed="81"/>
            <rFont val="Tahoma"/>
            <family val="2"/>
          </rPr>
          <t xml:space="preserve">oficio: </t>
        </r>
        <r>
          <rPr>
            <sz val="9"/>
            <color indexed="81"/>
            <rFont val="Tahoma"/>
            <family val="2"/>
          </rPr>
          <t xml:space="preserve">135764 del 29/11/2024
</t>
        </r>
        <r>
          <rPr>
            <b/>
            <sz val="9"/>
            <color indexed="81"/>
            <rFont val="Tahoma"/>
            <family val="2"/>
          </rPr>
          <t>Valor:</t>
        </r>
        <r>
          <rPr>
            <sz val="9"/>
            <color indexed="81"/>
            <rFont val="Tahoma"/>
            <family val="2"/>
          </rPr>
          <t xml:space="preserve">$6.248.720,00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L90" authorId="1" shapeId="0" xr:uid="{00000000-0006-0000-0100-00000B000000}">
      <text>
        <r>
          <rPr>
            <b/>
            <sz val="9"/>
            <color indexed="81"/>
            <rFont val="Tahoma"/>
            <family val="2"/>
          </rPr>
          <t>Oficio: 129806 del 05/10/2024
CAMBIO CODIGO UNSPSC:81111800 -
81111500</t>
        </r>
      </text>
    </comment>
    <comment ref="M90" authorId="1" shapeId="0" xr:uid="{00000000-0006-0000-0100-00000C000000}">
      <text>
        <r>
          <rPr>
            <b/>
            <sz val="9"/>
            <color indexed="81"/>
            <rFont val="Tahoma"/>
            <family val="2"/>
          </rPr>
          <t xml:space="preserve">Oficio: </t>
        </r>
        <r>
          <rPr>
            <sz val="9"/>
            <color indexed="81"/>
            <rFont val="Tahoma"/>
            <family val="2"/>
          </rPr>
          <t>129806 del 05/10/2024</t>
        </r>
        <r>
          <rPr>
            <b/>
            <sz val="9"/>
            <color indexed="81"/>
            <rFont val="Tahoma"/>
            <family val="2"/>
          </rPr>
          <t xml:space="preserve">
Cambio objeto:</t>
        </r>
        <r>
          <rPr>
            <sz val="9"/>
            <color indexed="81"/>
            <rFont val="Tahoma"/>
            <family val="2"/>
          </rPr>
          <t xml:space="preserve">ACTUALIZACIÓN DE LICENCIAMIENTO DE ANTIVIRUS INFORMÁTICO PARA EL INSTITUTO DE CASAS FISCALES DEL EJÉRCITO
</t>
        </r>
        <r>
          <rPr>
            <b/>
            <sz val="9"/>
            <color indexed="81"/>
            <rFont val="Tahoma"/>
            <family val="2"/>
          </rPr>
          <t xml:space="preserve">Oficio: </t>
        </r>
        <r>
          <rPr>
            <sz val="9"/>
            <color indexed="81"/>
            <rFont val="Tahoma"/>
            <family val="2"/>
          </rPr>
          <t xml:space="preserve">132841 del 06/11/2024
</t>
        </r>
        <r>
          <rPr>
            <b/>
            <sz val="9"/>
            <color indexed="81"/>
            <rFont val="Tahoma"/>
            <family val="2"/>
          </rPr>
          <t>Cambio objeto</t>
        </r>
        <r>
          <rPr>
            <sz val="9"/>
            <color indexed="81"/>
            <rFont val="Tahoma"/>
            <family val="2"/>
          </rPr>
          <t>:ADQUISICION DE LICENCIAMIENTO DE ANTIVIRUS INFORMÁTICO PARA EL INSTITUTO DE CASAS FISCALES DEL EJÉRCITO</t>
        </r>
      </text>
    </comment>
    <comment ref="Q90" authorId="1" shapeId="0" xr:uid="{00000000-0006-0000-0100-00000D000000}">
      <text>
        <r>
          <rPr>
            <b/>
            <sz val="9"/>
            <color indexed="81"/>
            <rFont val="Tahoma"/>
            <family val="2"/>
          </rPr>
          <t xml:space="preserve">Oficio: </t>
        </r>
        <r>
          <rPr>
            <sz val="9"/>
            <color indexed="81"/>
            <rFont val="Tahoma"/>
            <family val="2"/>
          </rPr>
          <t>133797 DEL 151124</t>
        </r>
        <r>
          <rPr>
            <b/>
            <sz val="9"/>
            <color indexed="81"/>
            <rFont val="Tahoma"/>
            <family val="2"/>
          </rPr>
          <t xml:space="preserve">
Cambio de modalidad: </t>
        </r>
        <r>
          <rPr>
            <sz val="9"/>
            <color indexed="81"/>
            <rFont val="Tahoma"/>
            <family val="2"/>
          </rPr>
          <t>Minima Cuantia</t>
        </r>
        <r>
          <rPr>
            <b/>
            <sz val="9"/>
            <color indexed="81"/>
            <rFont val="Tahoma"/>
            <family val="2"/>
          </rPr>
          <t xml:space="preserve">
</t>
        </r>
        <r>
          <rPr>
            <sz val="9"/>
            <color indexed="81"/>
            <rFont val="Tahoma"/>
            <family val="2"/>
          </rPr>
          <t xml:space="preserve">
</t>
        </r>
      </text>
    </comment>
    <comment ref="S115" authorId="1" shapeId="0" xr:uid="{00000000-0006-0000-0100-00000E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Q133" authorId="1" shapeId="0" xr:uid="{00000000-0006-0000-0100-00000F000000}">
      <text>
        <r>
          <rPr>
            <b/>
            <sz val="9"/>
            <color indexed="81"/>
            <rFont val="Tahoma"/>
            <family val="2"/>
          </rPr>
          <t>Oficio: 127540 del 160924
Cambio de modalidad: Contratación directa</t>
        </r>
        <r>
          <rPr>
            <sz val="9"/>
            <color indexed="81"/>
            <rFont val="Tahoma"/>
            <family val="2"/>
          </rPr>
          <t xml:space="preserve">
</t>
        </r>
      </text>
    </comment>
    <comment ref="M151" authorId="1" shapeId="0" xr:uid="{00000000-0006-0000-0100-000010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S152" authorId="2" shapeId="0" xr:uid="{00000000-0006-0000-0100-00001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68" authorId="2" shapeId="0" xr:uid="{00000000-0006-0000-0100-000012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68" authorId="2" shapeId="0" xr:uid="{00000000-0006-0000-0100-000013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69" authorId="2" shapeId="0" xr:uid="{00000000-0006-0000-0100-000014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0" authorId="2" shapeId="0" xr:uid="{00000000-0006-0000-0100-00001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0" authorId="1" shapeId="0" xr:uid="{00000000-0006-0000-0100-000016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S170" authorId="1" shapeId="0" xr:uid="{00000000-0006-0000-0100-000017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T170" authorId="1" shapeId="0" xr:uid="{00000000-0006-0000-0100-000018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1" authorId="2" shapeId="0" xr:uid="{00000000-0006-0000-0100-00001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2" authorId="2" shapeId="0" xr:uid="{00000000-0006-0000-0100-00001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2" authorId="1" shapeId="0" xr:uid="{00000000-0006-0000-0100-00001B000000}">
      <text>
        <r>
          <rPr>
            <b/>
            <sz val="9"/>
            <color indexed="81"/>
            <rFont val="Tahoma"/>
            <family val="2"/>
          </rPr>
          <t xml:space="preserve">Acuerdo: 002 del 19/03/2024
Valor: $6.800.000
Se recibe de: 
Desagregación presupuestal resolución 0219 del 06/06/2024
</t>
        </r>
      </text>
    </comment>
    <comment ref="S172" authorId="1" shapeId="0" xr:uid="{00000000-0006-0000-0100-00001C000000}">
      <text>
        <r>
          <rPr>
            <b/>
            <sz val="9"/>
            <color indexed="81"/>
            <rFont val="Tahoma"/>
            <family val="2"/>
          </rPr>
          <t xml:space="preserve">Acuerdo: 002 del 19/03/2024
Valor: $6.800.000
Se recibe de: 
Desagregación presupuestal resolución 0219 del 06/06/2024
</t>
        </r>
      </text>
    </comment>
    <comment ref="L173" authorId="2" shapeId="0" xr:uid="{00000000-0006-0000-0100-00001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2" shapeId="0" xr:uid="{00000000-0006-0000-0100-00001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100-00001F000000}">
      <text>
        <r>
          <rPr>
            <b/>
            <sz val="9"/>
            <color indexed="81"/>
            <rFont val="Tahoma"/>
            <family val="2"/>
          </rPr>
          <t xml:space="preserve">Acuerdo: 002 del 19/03/2024
Valor: $6.800.000
Se recibe de: 
Desagregación presupuestal resolución 0219 del 06/06/2024
</t>
        </r>
      </text>
    </comment>
    <comment ref="S174" authorId="1" shapeId="0" xr:uid="{00000000-0006-0000-0100-000020000000}">
      <text>
        <r>
          <rPr>
            <b/>
            <sz val="9"/>
            <color indexed="81"/>
            <rFont val="Tahoma"/>
            <family val="2"/>
          </rPr>
          <t xml:space="preserve">Acuerdo: 002 del 19/03/2024
Valor: $6.800.000
Se recibe de: 
Desagregación presupuestal resolución 0219 del 06/06/2024
</t>
        </r>
      </text>
    </comment>
    <comment ref="S195" authorId="1" shapeId="0" xr:uid="{00000000-0006-0000-0100-000021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X199" authorId="2" shapeId="0" xr:uid="{00000000-0006-0000-0100-000022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8" authorId="2" shapeId="0" xr:uid="{00000000-0006-0000-0100-000023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9" authorId="2" shapeId="0" xr:uid="{00000000-0006-0000-0100-000024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M297" authorId="3" shapeId="0" xr:uid="{00000000-0006-0000-0100-000025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S315" authorId="1" shapeId="0" xr:uid="{00000000-0006-0000-0100-00002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20" authorId="2" shapeId="0" xr:uid="{00000000-0006-0000-0100-00002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R331" authorId="1" shapeId="0" xr:uid="{00000000-0006-0000-0100-000028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 ref="T331" authorId="1" shapeId="0" xr:uid="{00000000-0006-0000-0100-000029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s>
  <commentList>
    <comment ref="L6" authorId="0" shapeId="0" xr:uid="{00000000-0006-0000-0300-000001000000}">
      <text>
        <r>
          <rPr>
            <sz val="9"/>
            <color indexed="81"/>
            <rFont val="Tahoma"/>
            <family val="2"/>
          </rPr>
          <t>Consulte este código del elemento a adquirir en la página web de "Colombia Compra Eficiente".</t>
        </r>
      </text>
    </comment>
    <comment ref="M6" authorId="0" shapeId="0" xr:uid="{00000000-0006-0000-03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300-000003000000}">
      <text>
        <r>
          <rPr>
            <sz val="9"/>
            <color indexed="81"/>
            <rFont val="Tahoma"/>
            <family val="2"/>
          </rPr>
          <t>Diligencie la fecha cuando se publicará en la pagina del SECOP, dia-mes-año</t>
        </r>
      </text>
    </comment>
    <comment ref="P6" authorId="0" shapeId="0" xr:uid="{00000000-0006-0000-0300-000004000000}">
      <text>
        <r>
          <rPr>
            <sz val="9"/>
            <color indexed="81"/>
            <rFont val="Tahoma"/>
            <family val="2"/>
          </rPr>
          <t>Diligencie el tiempo de duración del contrato en meses</t>
        </r>
      </text>
    </comment>
    <comment ref="Q6" authorId="0" shapeId="0" xr:uid="{00000000-0006-0000-0300-000005000000}">
      <text>
        <r>
          <rPr>
            <sz val="9"/>
            <color indexed="81"/>
            <rFont val="Tahoma"/>
            <family val="2"/>
          </rPr>
          <t>Esta columna la diligencia  Contratos</t>
        </r>
      </text>
    </comment>
    <comment ref="R6" authorId="0" shapeId="0" xr:uid="{00000000-0006-0000-03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300-000007000000}">
      <text>
        <r>
          <rPr>
            <sz val="9"/>
            <color indexed="81"/>
            <rFont val="Tahoma"/>
            <family val="2"/>
          </rPr>
          <t>Indique SI o NO requiere de vigencias futuras</t>
        </r>
      </text>
    </comment>
    <comment ref="V6" authorId="0" shapeId="0" xr:uid="{00000000-0006-0000-0300-000008000000}">
      <text>
        <r>
          <rPr>
            <sz val="9"/>
            <color indexed="81"/>
            <rFont val="Tahoma"/>
            <family val="2"/>
          </rPr>
          <t>Si el elemento a contratar requiere de vigencias futuras del 2025, se ingresa el valor total.</t>
        </r>
      </text>
    </comment>
    <comment ref="R116" authorId="1" shapeId="0" xr:uid="{00000000-0006-0000-0300-000009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27" authorId="2" shapeId="0" xr:uid="{00000000-0006-0000-0300-00000A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204" authorId="1" shapeId="0" xr:uid="{00000000-0006-0000-0300-00000B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V208" authorId="3" shapeId="0" xr:uid="{00000000-0006-0000-0300-00000C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8" authorId="3" shapeId="0" xr:uid="{00000000-0006-0000-0300-00000D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9" authorId="3" shapeId="0" xr:uid="{00000000-0006-0000-0300-00000E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R328" authorId="1" shapeId="0" xr:uid="{00000000-0006-0000-0300-00000F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46" authorId="1" shapeId="0" xr:uid="{00000000-0006-0000-0300-000010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Raul Atehortua Puerta</author>
  </authors>
  <commentList>
    <comment ref="L6" authorId="0" shapeId="0" xr:uid="{00000000-0006-0000-0400-000001000000}">
      <text>
        <r>
          <rPr>
            <sz val="9"/>
            <color indexed="81"/>
            <rFont val="Tahoma"/>
            <family val="2"/>
          </rPr>
          <t>Consulte este código del elemento a adquirir en la página web de "Colombia Compra Eficiente".</t>
        </r>
      </text>
    </comment>
    <comment ref="M6" authorId="0" shapeId="0" xr:uid="{00000000-0006-0000-04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400-000003000000}">
      <text>
        <r>
          <rPr>
            <sz val="9"/>
            <color indexed="81"/>
            <rFont val="Tahoma"/>
            <family val="2"/>
          </rPr>
          <t>Diligencie la fecha cuando se publicará en la pagina del SECOP, dia-mes-año</t>
        </r>
      </text>
    </comment>
    <comment ref="P6" authorId="0" shapeId="0" xr:uid="{00000000-0006-0000-0400-000004000000}">
      <text>
        <r>
          <rPr>
            <sz val="9"/>
            <color indexed="81"/>
            <rFont val="Tahoma"/>
            <family val="2"/>
          </rPr>
          <t>Diligencie el tiempo de duración del contrato en meses</t>
        </r>
      </text>
    </comment>
    <comment ref="Q6" authorId="0" shapeId="0" xr:uid="{00000000-0006-0000-0400-000005000000}">
      <text>
        <r>
          <rPr>
            <sz val="9"/>
            <color indexed="81"/>
            <rFont val="Tahoma"/>
            <family val="2"/>
          </rPr>
          <t>Esta columna la diligencia  Contratos</t>
        </r>
      </text>
    </comment>
    <comment ref="R6" authorId="0" shapeId="0" xr:uid="{00000000-0006-0000-04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400-000007000000}">
      <text>
        <r>
          <rPr>
            <sz val="9"/>
            <color indexed="81"/>
            <rFont val="Tahoma"/>
            <family val="2"/>
          </rPr>
          <t>Si el elemento a contratar requiere de vigencias futuras del 2025, se ingresa el valor total.</t>
        </r>
      </text>
    </comment>
    <comment ref="R13" authorId="1" shapeId="0" xr:uid="{00000000-0006-0000-0400-00000800000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xr:uid="{00000000-0006-0000-04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xr:uid="{00000000-0006-0000-0400-00000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xr:uid="{00000000-0006-0000-0400-00000B00000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xr:uid="{00000000-0006-0000-0400-00000C00000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 xml:space="preserve">MANTENIMIENTO PREVENTIVO Y CORRECTIVO DE PERIFERICOS Y EQUIPOS TECNOLOGICOS CON BOLSA DE REPUESTOS NUEVOS Y ORIGINALES
QUE COMPONEN LA INFRAESTRUCTURA TECNOLOGICA DEL INSTITUTO DE CASAS FISCALES DEL EJÉRCITO
</t>
        </r>
        <r>
          <rPr>
            <b/>
            <sz val="9"/>
            <color indexed="81"/>
            <rFont val="Tahoma"/>
            <family val="2"/>
          </rPr>
          <t>Oficio:</t>
        </r>
        <r>
          <rPr>
            <sz val="9"/>
            <color indexed="81"/>
            <rFont val="Tahoma"/>
            <family val="2"/>
          </rPr>
          <t xml:space="preserve"> 132300 del 30102024
</t>
        </r>
        <r>
          <rPr>
            <b/>
            <sz val="9"/>
            <color indexed="81"/>
            <rFont val="Tahoma"/>
            <family val="2"/>
          </rPr>
          <t xml:space="preserve">Valor: </t>
        </r>
        <r>
          <rPr>
            <sz val="9"/>
            <color indexed="81"/>
            <rFont val="Tahoma"/>
            <family val="2"/>
          </rPr>
          <t xml:space="preserve">$ 7.670.391,52
</t>
        </r>
        <r>
          <rPr>
            <b/>
            <sz val="9"/>
            <color indexed="81"/>
            <rFont val="Tahoma"/>
            <family val="2"/>
          </rPr>
          <t xml:space="preserve">Se recibe de : </t>
        </r>
        <r>
          <rPr>
            <sz val="9"/>
            <color indexed="81"/>
            <rFont val="Tahoma"/>
            <family val="2"/>
          </rPr>
          <t>A-02-02-01-004-007 EQUIPO Y APARATOS DE RADIO, TELEVISIÓN Y COMUNICACIONES ADQUISICIÓN DE LICENCIAMIENTO DE SOFTWARE DE MICROSOFT PARA EL INSTITUTO DE CASAS FISCALES DEL EJÉRCITO</t>
        </r>
      </text>
    </comment>
    <comment ref="R23" authorId="1" shapeId="0" xr:uid="{00000000-0006-0000-0400-00000D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xr:uid="{00000000-0006-0000-0400-00000E00000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xr:uid="{00000000-0006-0000-0400-00000F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xr:uid="{00000000-0006-0000-0400-00001000000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xr:uid="{00000000-0006-0000-0400-000011000000}">
      <text>
        <r>
          <rPr>
            <b/>
            <sz val="9"/>
            <color indexed="81"/>
            <rFont val="Tahoma"/>
            <family val="2"/>
          </rPr>
          <t>Acuerdo: 002 del 19/03/2024
Valor: $50.000.000
Se recibe de: 
Desagregación presupuestal resolución 0219 del 06/06/2024</t>
        </r>
      </text>
    </comment>
    <comment ref="R44" authorId="1" shapeId="0" xr:uid="{00000000-0006-0000-0400-000012000000}">
      <text>
        <r>
          <rPr>
            <b/>
            <sz val="9"/>
            <color indexed="81"/>
            <rFont val="Tahoma"/>
            <family val="2"/>
          </rPr>
          <t>Acuerdo: 002 del 19/03/2024
Valor: $ 200.000.000
Se recibe de: 
Desagregación presupuestal resolución 0219 del 06/06/2024</t>
        </r>
      </text>
    </comment>
    <comment ref="R66" authorId="1" shapeId="0" xr:uid="{00000000-0006-0000-0400-000013000000}">
      <text>
        <r>
          <rPr>
            <b/>
            <sz val="9"/>
            <color indexed="81"/>
            <rFont val="Tahoma"/>
            <family val="2"/>
          </rPr>
          <t>Acuerdo: 002 del 19/03/2024
Valor: $ 85.000.000
Se recibe de: 
Desagregación presupuestal resolución 0219 del 06/06/2024</t>
        </r>
      </text>
    </comment>
    <comment ref="R74" authorId="1" shapeId="0" xr:uid="{00000000-0006-0000-0400-000014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xr:uid="{00000000-0006-0000-0400-00001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xr:uid="{00000000-0006-0000-0400-000016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xr:uid="{00000000-0006-0000-0400-00001700000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xr:uid="{00000000-0006-0000-0400-000018000000}">
      <text>
        <r>
          <rPr>
            <b/>
            <sz val="9"/>
            <color indexed="81"/>
            <rFont val="Tahoma"/>
            <family val="2"/>
          </rPr>
          <t>Oficio: 129806 del 05/10/2024
CAMBIO CODIGO UNSPSC:81111800 -
81111500</t>
        </r>
      </text>
    </comment>
    <comment ref="M84" authorId="1" shapeId="0" xr:uid="{00000000-0006-0000-0400-000019000000}">
      <text>
        <r>
          <rPr>
            <b/>
            <sz val="9"/>
            <color indexed="81"/>
            <rFont val="Tahoma"/>
            <family val="2"/>
          </rPr>
          <t>Oficio: 129806 del 05/10/2024
Cambio objeto:ACTUALIZACIÓN DE LICENCIAMIENTO DE ANTIVIRUS INFORMÁTICO
PARA EL INSTITUTO DE CASAS FISCALES DEL EJÉRCITO</t>
        </r>
        <r>
          <rPr>
            <sz val="9"/>
            <color indexed="81"/>
            <rFont val="Tahoma"/>
            <family val="2"/>
          </rPr>
          <t xml:space="preserve">
</t>
        </r>
      </text>
    </comment>
    <comment ref="R84" authorId="1" shapeId="0" xr:uid="{00000000-0006-0000-0400-00001A000000}">
      <text>
        <r>
          <rPr>
            <b/>
            <sz val="9"/>
            <color indexed="81"/>
            <rFont val="Tahoma"/>
            <family val="2"/>
          </rPr>
          <t>Acuerdo: 002 del 19/03/2024
Valor: $ 35.000.000
Se recibe de: 
Desagregación presupuestal resolución 0219 del 06/06/2024</t>
        </r>
      </text>
    </comment>
    <comment ref="M85" authorId="1" shapeId="0" xr:uid="{00000000-0006-0000-0400-00001B00000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xr:uid="{00000000-0006-0000-0400-00001C00000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xr:uid="{00000000-0006-0000-0400-00001D00000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xr:uid="{00000000-0006-0000-0400-00001E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xr:uid="{00000000-0006-0000-0400-00001F00000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xr:uid="{00000000-0006-0000-0400-000020000000}">
      <text>
        <r>
          <rPr>
            <b/>
            <sz val="9"/>
            <color indexed="81"/>
            <rFont val="Tahoma"/>
            <family val="2"/>
          </rPr>
          <t xml:space="preserve">Acuerdo: 002 del 19/03/2024
Valor: $ 30.000.000
Se recibe de: 
Desagregación presupuestal resolución 0219 del 06/06/2024
Oficio: </t>
        </r>
        <r>
          <rPr>
            <sz val="9"/>
            <color indexed="81"/>
            <rFont val="Tahoma"/>
            <family val="2"/>
          </rPr>
          <t xml:space="preserve">132300 del 30102024
</t>
        </r>
        <r>
          <rPr>
            <b/>
            <sz val="9"/>
            <color indexed="81"/>
            <rFont val="Tahoma"/>
            <family val="2"/>
          </rPr>
          <t>Valor:</t>
        </r>
        <r>
          <rPr>
            <sz val="9"/>
            <color indexed="81"/>
            <rFont val="Tahoma"/>
            <family val="2"/>
          </rPr>
          <t xml:space="preserve"> $ 7.670.391,52</t>
        </r>
        <r>
          <rPr>
            <b/>
            <sz val="9"/>
            <color indexed="81"/>
            <rFont val="Tahoma"/>
            <family val="2"/>
          </rPr>
          <t xml:space="preserve">
Se traslada a: </t>
        </r>
        <r>
          <rPr>
            <sz val="9"/>
            <color indexed="81"/>
            <rFont val="Tahoma"/>
            <family val="2"/>
          </rPr>
          <t xml:space="preserve">A-02-01-01-004-005 MAQUINARIA DE OFICINA, CONTABILIDAD E INFORMÁTICA ADQUISICION DE EQUIPOS DE COMPUTO Y PERIFERICOS PARA DEL INSTITUTO DE CASAS FISCALES DEL EJÉRCITO
</t>
        </r>
      </text>
    </comment>
    <comment ref="R91" authorId="1" shapeId="0" xr:uid="{00000000-0006-0000-0400-000021000000}">
      <text>
        <r>
          <rPr>
            <b/>
            <sz val="9"/>
            <color indexed="81"/>
            <rFont val="Tahoma"/>
            <family val="2"/>
          </rPr>
          <t>Acuerdo: 002 del 19/03/2024
Valor: $ 10.000.000
Se recibe de: 
Desagregación presupuestal resolución 0219 del 06/06/2024</t>
        </r>
      </text>
    </comment>
    <comment ref="R93" authorId="1" shapeId="0" xr:uid="{00000000-0006-0000-0400-00002200000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xr:uid="{00000000-0006-0000-0400-00002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xr:uid="{00000000-0006-0000-0400-00002400000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xr:uid="{00000000-0006-0000-0400-00002500000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xr:uid="{00000000-0006-0000-0400-000026000000}">
      <text>
        <r>
          <rPr>
            <b/>
            <sz val="9"/>
            <color indexed="81"/>
            <rFont val="Tahoma"/>
            <family val="2"/>
          </rPr>
          <t xml:space="preserve">Acuerdo: 002 del 19/03/2024
Valor: $ 32.300.000
Se recibe de: 
Desagregación presupuestal resolución 0219 del 06/06/2024
</t>
        </r>
      </text>
    </comment>
    <comment ref="R118" authorId="1" shapeId="0" xr:uid="{00000000-0006-0000-0400-000027000000}">
      <text>
        <r>
          <rPr>
            <b/>
            <sz val="9"/>
            <color indexed="81"/>
            <rFont val="Tahoma"/>
            <family val="2"/>
          </rPr>
          <t>Acuerdo: 002 del 19/03/2024
Valor: $ 32.300.000
Se recibe de: 
Desagregación presupuestal resolución 0219 del 06/06/2024</t>
        </r>
      </text>
    </comment>
    <comment ref="R119" authorId="3" shapeId="0" xr:uid="{00000000-0006-0000-0400-000028000000}">
      <text>
        <r>
          <rPr>
            <sz val="9"/>
            <color indexed="81"/>
            <rFont val="Tahoma"/>
            <family val="2"/>
          </rPr>
          <t>Se revisa con la ejecución del 19 de marzo diferencia 150.000</t>
        </r>
      </text>
    </comment>
    <comment ref="R120" authorId="1" shapeId="0" xr:uid="{00000000-0006-0000-0400-00002900000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xr:uid="{00000000-0006-0000-0400-00002A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xr:uid="{00000000-0006-0000-0400-00002B00000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xr:uid="{00000000-0006-0000-0400-00002C00000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xr:uid="{00000000-0006-0000-0400-00002D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xr:uid="{00000000-0006-0000-0400-00002E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xr:uid="{00000000-0006-0000-0400-00002F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xr:uid="{00000000-0006-0000-0400-00003000000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xr:uid="{00000000-0006-0000-0400-000031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xr:uid="{00000000-0006-0000-0400-000032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xr:uid="{00000000-0006-0000-0400-00003300000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xr:uid="{00000000-0006-0000-0400-00003400000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xr:uid="{00000000-0006-0000-0400-00003500000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xr:uid="{00000000-0006-0000-0400-00003600000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xr:uid="{00000000-0006-0000-0400-00003700000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xr:uid="{00000000-0006-0000-0400-000038000000}">
      <text>
        <r>
          <rPr>
            <b/>
            <sz val="9"/>
            <color indexed="81"/>
            <rFont val="Tahoma"/>
            <family val="2"/>
          </rPr>
          <t>Acuerdo: 002 del 19/03/2024
Valor: $ 12.000.000
Se recibe de: 
Desagregación presupuestal resolución 0219 del 06/06/202</t>
        </r>
      </text>
    </comment>
    <comment ref="M137" authorId="1" shapeId="0" xr:uid="{00000000-0006-0000-0400-00003900000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xr:uid="{00000000-0006-0000-0400-00003A00000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xr:uid="{00000000-0006-0000-0400-00003B00000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xr:uid="{00000000-0006-0000-0400-00003C00000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xr:uid="{00000000-0006-0000-0400-00003D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xr:uid="{00000000-0006-0000-0400-00003E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xr:uid="{00000000-0006-0000-0400-00003F00000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xr:uid="{00000000-0006-0000-0400-000040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M142" authorId="1" shapeId="0" xr:uid="{00000000-0006-0000-0400-000041000000}">
      <text>
        <r>
          <rPr>
            <b/>
            <sz val="9"/>
            <color indexed="81"/>
            <rFont val="Tahoma"/>
            <family val="2"/>
          </rPr>
          <t xml:space="preserve">Oficio: </t>
        </r>
        <r>
          <rPr>
            <sz val="9"/>
            <color indexed="81"/>
            <rFont val="Tahoma"/>
            <family val="2"/>
          </rPr>
          <t>132300 del 30102024</t>
        </r>
        <r>
          <rPr>
            <b/>
            <sz val="9"/>
            <color indexed="81"/>
            <rFont val="Tahoma"/>
            <family val="2"/>
          </rPr>
          <t xml:space="preserve">
Se modifica objeto:</t>
        </r>
        <r>
          <rPr>
            <sz val="9"/>
            <color indexed="81"/>
            <rFont val="Tahoma"/>
            <family val="2"/>
          </rPr>
          <t xml:space="preserve">PRESTAR CON PLENA AUTONOMIA ADMINISTRATIVA LOS SERVICIOS PROFESIONALES DE UN INGENIERO ELECTRÓNICO Y TELECOMUNICACIONES COMO DESARROLLADOR DE SOFTWARE - BACKEND PARA EL GRUPO DEL INSTITUTO DE CASAS FISCALES DEL EJÉRCITO
</t>
        </r>
      </text>
    </comment>
    <comment ref="R142" authorId="1" shapeId="0" xr:uid="{00000000-0006-0000-0400-00004200000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xr:uid="{00000000-0006-0000-0400-000043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xr:uid="{00000000-0006-0000-0400-000044000000}">
      <text>
        <r>
          <rPr>
            <b/>
            <sz val="9"/>
            <color indexed="81"/>
            <rFont val="Tahoma"/>
            <family val="2"/>
          </rPr>
          <t>Acuerdo: 002 del 19/03/2024
Valor: $ 32.000.000
Se recibe de: 
Desagregación presupuestal resolución 0219 del 06/06/2024</t>
        </r>
      </text>
    </comment>
    <comment ref="R144" authorId="1" shapeId="0" xr:uid="{00000000-0006-0000-0400-000045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xr:uid="{00000000-0006-0000-0400-000046000000}">
      <text>
        <r>
          <rPr>
            <b/>
            <sz val="9"/>
            <color indexed="81"/>
            <rFont val="Tahoma"/>
            <family val="2"/>
          </rPr>
          <t>Oficio:117348
Valor: $ 0
Se cambia código UNSCP: 80101600</t>
        </r>
      </text>
    </comment>
    <comment ref="R145" authorId="1" shapeId="0" xr:uid="{00000000-0006-0000-0400-00004700000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xr:uid="{00000000-0006-0000-0400-000048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xr:uid="{00000000-0006-0000-0400-00004900000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xr:uid="{00000000-0006-0000-0400-00004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xr:uid="{00000000-0006-0000-0400-00004B00000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xr:uid="{00000000-0006-0000-0400-00004C00000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xr:uid="{00000000-0006-0000-0400-00004D00000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xr:uid="{00000000-0006-0000-0400-00004E00000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xr:uid="{00000000-0006-0000-0400-00004F00000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xr:uid="{00000000-0006-0000-0400-000050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xr:uid="{00000000-0006-0000-0400-00005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xr:uid="{00000000-0006-0000-0400-00005200000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xr:uid="{00000000-0006-0000-0400-000053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xr:uid="{00000000-0006-0000-0400-000054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xr:uid="{00000000-0006-0000-0400-000055000000}">
      <text>
        <r>
          <rPr>
            <b/>
            <sz val="9"/>
            <color indexed="81"/>
            <rFont val="Tahoma"/>
            <family val="2"/>
          </rPr>
          <t>Acuerdo: 002 del 19/03/2024
Valor: $23.233.334
Se recibe de: 
Desagregación presupuestal resolución 0219 del 06/06/2024</t>
        </r>
      </text>
    </comment>
    <comment ref="R162" authorId="1" shapeId="0" xr:uid="{00000000-0006-0000-0400-00005600000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xr:uid="{00000000-0006-0000-0400-000057000000}">
      <text>
        <r>
          <rPr>
            <b/>
            <sz val="9"/>
            <color indexed="81"/>
            <rFont val="Tahoma"/>
            <family val="2"/>
          </rPr>
          <t xml:space="preserve">Acuerdo: 002 del 19/03/2024
Valor: $ 34.390.000
Se recibe de: 
Desagregación presupuestal resolución 0219 del 06/06/2024
</t>
        </r>
      </text>
    </comment>
    <comment ref="M165" authorId="2" shapeId="0" xr:uid="{00000000-0006-0000-0400-000058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xr:uid="{00000000-0006-0000-0400-000059000000}">
      <text>
        <r>
          <rPr>
            <b/>
            <sz val="9"/>
            <color indexed="81"/>
            <rFont val="Tahoma"/>
            <family val="2"/>
          </rPr>
          <t>Acuerdo: 002 del 19/03/2024
Valor: $34.200.000
Se recibe de: 
Desagregación presupuestal resolución 0219 del 06/06/2024</t>
        </r>
      </text>
    </comment>
    <comment ref="M166" authorId="1" shapeId="0" xr:uid="{00000000-0006-0000-0400-00005A00000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xr:uid="{00000000-0006-0000-0400-00005B000000}">
      <text>
        <r>
          <rPr>
            <b/>
            <sz val="9"/>
            <color indexed="81"/>
            <rFont val="Tahoma"/>
            <family val="2"/>
          </rPr>
          <t>Oficio: 127540 del 160924
Cambio de modalidad: Contratación directa</t>
        </r>
        <r>
          <rPr>
            <sz val="9"/>
            <color indexed="81"/>
            <rFont val="Tahoma"/>
            <family val="2"/>
          </rPr>
          <t xml:space="preserve">
</t>
        </r>
      </text>
    </comment>
    <comment ref="R166" authorId="1" shapeId="0" xr:uid="{00000000-0006-0000-0400-00005C000000}">
      <text>
        <r>
          <rPr>
            <b/>
            <sz val="9"/>
            <color indexed="81"/>
            <rFont val="Tahoma"/>
            <family val="2"/>
          </rPr>
          <t xml:space="preserve">Acuerdo: 002 del 19/03/2024
Valor: $ 15.000.000
Se recibe de: 
Desagregación presupuestal resolución 0219 del 06/06/2024
</t>
        </r>
      </text>
    </comment>
    <comment ref="R167" authorId="4" shapeId="0" xr:uid="{00000000-0006-0000-0400-00005D00000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xr:uid="{00000000-0006-0000-0400-00005E00000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xr:uid="{00000000-0006-0000-0400-00005F00000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xr:uid="{00000000-0006-0000-0400-000060000000}">
      <text>
        <r>
          <rPr>
            <b/>
            <sz val="9"/>
            <color indexed="81"/>
            <rFont val="Tahoma"/>
            <family val="2"/>
          </rPr>
          <t xml:space="preserve">Acuerdo: 002 del 19/03/2024
Valor: $ 10.000.000
Se recibe de: 
Desagregación presupuestal resolución 0219 del 06/06/2024
</t>
        </r>
      </text>
    </comment>
    <comment ref="R172" authorId="3" shapeId="0" xr:uid="{00000000-0006-0000-0400-000061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xr:uid="{00000000-0006-0000-0400-000062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xr:uid="{00000000-0006-0000-0400-000063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400-000064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xr:uid="{00000000-0006-0000-0400-00006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xr:uid="{00000000-0006-0000-0400-000066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xr:uid="{00000000-0006-0000-0400-000067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xr:uid="{00000000-0006-0000-0400-000068000000}">
      <text>
        <r>
          <rPr>
            <b/>
            <sz val="9"/>
            <color indexed="81"/>
            <rFont val="Tahoma"/>
            <family val="2"/>
          </rPr>
          <t xml:space="preserve">Acuerdo: 002 del 19/03/2024
Valor: $6.800.000
Se recibe de: 
Desagregación presupuestal resolución 0219 del 06/06/2024
</t>
        </r>
      </text>
    </comment>
    <comment ref="L178" authorId="3" shapeId="0" xr:uid="{00000000-0006-0000-0400-00006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xr:uid="{00000000-0006-0000-0400-00006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xr:uid="{00000000-0006-0000-0400-00006B000000}">
      <text>
        <r>
          <rPr>
            <b/>
            <sz val="9"/>
            <color indexed="81"/>
            <rFont val="Tahoma"/>
            <family val="2"/>
          </rPr>
          <t xml:space="preserve">Acuerdo: 002 del 19/03/2024
Valor: $6.800.000
Se recibe de: 
Desagregación presupuestal resolución 0219 del 06/06/2024
</t>
        </r>
      </text>
    </comment>
    <comment ref="R183" authorId="1" shapeId="0" xr:uid="{00000000-0006-0000-0400-00006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xr:uid="{00000000-0006-0000-0400-00006D00000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xr:uid="{00000000-0006-0000-0400-00006E00000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xr:uid="{00000000-0006-0000-0400-00006F00000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xr:uid="{00000000-0006-0000-0400-000070000000}">
      <text>
        <r>
          <rPr>
            <b/>
            <sz val="9"/>
            <color indexed="81"/>
            <rFont val="Tahoma"/>
            <family val="2"/>
          </rPr>
          <t xml:space="preserve">Acuerdo: 002 del 19/03/2024
Valor: $ 10.000.000
Se recibe de: 
Desagregación presupuestal resolución 0219 del 06/06/2024
</t>
        </r>
      </text>
    </comment>
    <comment ref="M197" authorId="1" shapeId="0" xr:uid="{00000000-0006-0000-0400-00007100000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xr:uid="{00000000-0006-0000-0400-00007200000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xr:uid="{00000000-0006-0000-0400-00007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xr:uid="{00000000-0006-0000-0400-00007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xr:uid="{00000000-0006-0000-0400-000075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xr:uid="{00000000-0006-0000-0400-00007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xr:uid="{00000000-0006-0000-0400-000077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xr:uid="{00000000-0006-0000-0400-00007800000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xr:uid="{00000000-0006-0000-0400-00007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xr:uid="{00000000-0006-0000-0400-00007A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xr:uid="{00000000-0006-0000-0400-00007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xr:uid="{00000000-0006-0000-0400-00007C00000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xr:uid="{00000000-0006-0000-0400-00007D000000}">
      <text>
        <r>
          <rPr>
            <b/>
            <sz val="9"/>
            <color indexed="81"/>
            <rFont val="Tahoma"/>
            <family val="2"/>
          </rPr>
          <t xml:space="preserve">Acuerdo: 002 del 19/03/2024
Valor: $ 20.000.000
Se recibe de: 
Desagregación presupuestal resolución 0219 del 06/06/2024
</t>
        </r>
      </text>
    </comment>
    <comment ref="R217" authorId="1" shapeId="0" xr:uid="{00000000-0006-0000-0400-00007E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xr:uid="{00000000-0006-0000-0400-00007F00000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xr:uid="{00000000-0006-0000-0400-000080000000}">
      <text>
        <r>
          <rPr>
            <b/>
            <sz val="9"/>
            <color indexed="81"/>
            <rFont val="Tahoma"/>
            <family val="2"/>
          </rPr>
          <t xml:space="preserve">Acuerdo: 002 del 19/03/2024
Valor: $50.000.000
Se recibe de: 
Desagregación presupuestal resolución 0219 del 06/06/2024
</t>
        </r>
      </text>
    </comment>
    <comment ref="R226" authorId="1" shapeId="0" xr:uid="{00000000-0006-0000-0400-00008100000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xr:uid="{00000000-0006-0000-0400-00008200000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xr:uid="{00000000-0006-0000-0400-000083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xr:uid="{00000000-0006-0000-0400-00008400000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xr:uid="{00000000-0006-0000-0400-00008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xr:uid="{00000000-0006-0000-0400-00008600000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xr:uid="{00000000-0006-0000-0400-000087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t>
        </r>
      </text>
    </comment>
    <comment ref="R261" authorId="3" shapeId="0" xr:uid="{00000000-0006-0000-0400-000088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xr:uid="{00000000-0006-0000-0400-00008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xr:uid="{00000000-0006-0000-0400-00008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xr:uid="{00000000-0006-0000-0400-00008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xr:uid="{00000000-0006-0000-0400-00008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xr:uid="{00000000-0006-0000-0400-00008D00000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xr:uid="{00000000-0006-0000-0400-00008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xr:uid="{00000000-0006-0000-0400-00008F00000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xr:uid="{00000000-0006-0000-0400-00009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xr:uid="{00000000-0006-0000-0400-000091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xr:uid="{00000000-0006-0000-0400-000092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xr:uid="{00000000-0006-0000-0400-00009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xr:uid="{00000000-0006-0000-0400-00009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xr:uid="{00000000-0006-0000-0400-000095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xr:uid="{00000000-0006-0000-0400-00009600000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xr:uid="{00000000-0006-0000-0400-00009700000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t>
        </r>
      </text>
    </comment>
    <comment ref="R298" authorId="3" shapeId="0" xr:uid="{00000000-0006-0000-0400-00009800000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xr:uid="{00000000-0006-0000-0400-000099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xr:uid="{00000000-0006-0000-0400-00009A00000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xr:uid="{00000000-0006-0000-0400-00009B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xr:uid="{00000000-0006-0000-0400-00009C00000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xr:uid="{00000000-0006-0000-0400-00009D00000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xr:uid="{00000000-0006-0000-0400-00009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xr:uid="{00000000-0006-0000-0400-00009F00000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xr:uid="{00000000-0006-0000-0400-0000A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xr:uid="{00000000-0006-0000-0400-0000A100000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xr:uid="{00000000-0006-0000-0400-0000A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xr:uid="{00000000-0006-0000-0400-0000A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xr:uid="{00000000-0006-0000-0400-0000A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xr:uid="{00000000-0006-0000-0400-0000A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xr:uid="{00000000-0006-0000-0400-0000A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xr:uid="{00000000-0006-0000-0400-0000A7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xr:uid="{00000000-0006-0000-0400-0000A8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xr:uid="{00000000-0006-0000-0400-0000A9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xr:uid="{00000000-0006-0000-0400-0000A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xr:uid="{00000000-0006-0000-0400-0000A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xr:uid="{00000000-0006-0000-0400-0000AC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xr:uid="{00000000-0006-0000-0400-0000AD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xr:uid="{00000000-0006-0000-0400-0000AE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xr:uid="{00000000-0006-0000-0400-0000AF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xr:uid="{00000000-0006-0000-0400-0000B0000000}">
      <text>
        <r>
          <rPr>
            <b/>
            <sz val="9"/>
            <color indexed="81"/>
            <rFont val="Tahoma"/>
            <family val="2"/>
          </rPr>
          <t>Oficio: 129641 del  03-10-2024
Valor: 11.000.000
Se traslada a: RUBRO A-07-01-02 CESANTÍAS PARCIALES</t>
        </r>
      </text>
    </comment>
    <comment ref="R341" authorId="1" shapeId="0" xr:uid="{00000000-0006-0000-0400-0000B1000000}">
      <text>
        <r>
          <rPr>
            <b/>
            <sz val="9"/>
            <color indexed="81"/>
            <rFont val="Tahoma"/>
            <family val="2"/>
          </rPr>
          <t>Oficio: 129641 del  03-10-2024
Valor: 11.000.000
Se recibe de: RUBRO
A-07-01-01 CESANTÍAS
DEFINITIVAS</t>
        </r>
      </text>
    </comment>
    <comment ref="R343" authorId="1" shapeId="0" xr:uid="{00000000-0006-0000-0400-0000B200000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xr:uid="{00000000-0006-0000-0400-0000B3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t>
        </r>
      </text>
    </comment>
    <comment ref="R355" authorId="1" shapeId="0" xr:uid="{00000000-0006-0000-0400-0000B4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xr:uid="{00000000-0006-0000-0400-0000B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xr:uid="{00000000-0006-0000-0400-0000B6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xr:uid="{00000000-0006-0000-0400-0000B7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xr:uid="{00000000-0006-0000-0400-0000B8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xr:uid="{00000000-0006-0000-0400-0000B9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4" authorId="3" shapeId="0" xr:uid="{00000000-0006-0000-0400-0000BA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5" authorId="3" shapeId="0" xr:uid="{00000000-0006-0000-0400-0000BB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xr:uid="{00000000-0006-0000-0400-0000BC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xr:uid="{00000000-0006-0000-0400-0000BD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xr:uid="{00000000-0006-0000-0400-0000BE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xr:uid="{00000000-0006-0000-0400-0000BF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xr:uid="{00000000-0006-0000-0400-0000C0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xr:uid="{00000000-0006-0000-0400-0000C1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xr:uid="{00000000-0006-0000-0400-0000C2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xr:uid="{00000000-0006-0000-0400-0000C3000000}">
      <text>
        <r>
          <rPr>
            <b/>
            <sz val="9"/>
            <color indexed="81"/>
            <rFont val="Tahoma"/>
            <family val="2"/>
          </rPr>
          <t xml:space="preserve">Oficio: 128284 del 23/09/2024
Se incluye: Codigos UNSPSC
72101500
72111100
72141500
</t>
        </r>
      </text>
    </comment>
    <comment ref="R383" authorId="1" shapeId="0" xr:uid="{00000000-0006-0000-0400-0000C4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xr:uid="{00000000-0006-0000-0400-0000C5000000}">
      <text>
        <r>
          <rPr>
            <b/>
            <sz val="9"/>
            <color indexed="81"/>
            <rFont val="Tahoma"/>
            <family val="2"/>
          </rPr>
          <t>Oficio: 128284 del 23/09/2024
Se incluye: Codigos UNSPSC
81101500</t>
        </r>
      </text>
    </comment>
    <comment ref="R384" authorId="1" shapeId="0" xr:uid="{00000000-0006-0000-0400-0000C6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xr:uid="{00000000-0006-0000-0400-0000C7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xr:uid="{00000000-0006-0000-0400-0000C8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xr:uid="{00000000-0006-0000-0400-0000C9000000}">
      <text>
        <r>
          <rPr>
            <sz val="9"/>
            <color indexed="81"/>
            <rFont val="Tahoma"/>
            <family val="2"/>
          </rPr>
          <t xml:space="preserve">Oficio: 97846
Valor: 773.272.719,77
Se cambie el valor de la vigencia fututa.
</t>
        </r>
      </text>
    </comment>
    <comment ref="R389" authorId="3" shapeId="0" xr:uid="{00000000-0006-0000-0400-0000CA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xr:uid="{00000000-0006-0000-0400-0000CB000000}">
      <text>
        <r>
          <rPr>
            <sz val="9"/>
            <color indexed="81"/>
            <rFont val="Tahoma"/>
            <family val="2"/>
          </rPr>
          <t>Oficio: 97846
Valor: 510.274.233,07
Se cambie el valor de la vigencia fututa.</t>
        </r>
      </text>
    </comment>
    <comment ref="Q391" authorId="3" shapeId="0" xr:uid="{00000000-0006-0000-0400-0000CC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xr:uid="{00000000-0006-0000-0400-0000CD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xr:uid="{00000000-0006-0000-0400-0000CE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xr:uid="{00000000-0006-0000-0400-0000CF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xr:uid="{00000000-0006-0000-0400-0000D000000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xr:uid="{00000000-0006-0000-0400-0000D1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xr:uid="{00000000-0006-0000-0400-0000D2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xr:uid="{00000000-0006-0000-0400-0000D3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xr:uid="{00000000-0006-0000-0400-0000D4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xr:uid="{00000000-0006-0000-0400-0000D500000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xr:uid="{00000000-0006-0000-0400-0000D600000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07" authorId="3" shapeId="0" xr:uid="{00000000-0006-0000-0400-0000D7000000}">
      <text>
        <r>
          <rPr>
            <sz val="9"/>
            <color indexed="81"/>
            <rFont val="Tahoma"/>
            <family val="2"/>
          </rPr>
          <t xml:space="preserve">Oficio: 97846
Se incluye: Codigos UNSPSC
Fecha estimada
Mes publicacion
Duracion 
Modalidad
Si require vigencia futura
Valor vigencia futura
</t>
        </r>
      </text>
    </comment>
    <comment ref="M407" authorId="1" shapeId="0" xr:uid="{00000000-0006-0000-0400-0000D8000000}">
      <text>
        <r>
          <rPr>
            <b/>
            <sz val="9"/>
            <color indexed="81"/>
            <rFont val="Tahoma"/>
            <family val="2"/>
          </rPr>
          <t>Oficio: 131613 del 241024
Asunto: Cambio objeto 
Se mofifica objeto:</t>
        </r>
        <r>
          <rPr>
            <sz val="9"/>
            <color indexed="81"/>
            <rFont val="Tahoma"/>
            <family val="2"/>
          </rPr>
          <t>CONSTRUCCIÓN DE DOS EDIFICIOS DE VIVIENDA FISCAL PARA EL
PERSONAL DE SUBOFICIALES EN LA SECCIONAL DE TOLEMAIDA</t>
        </r>
      </text>
    </comment>
    <comment ref="N407" authorId="3" shapeId="0" xr:uid="{00000000-0006-0000-0400-0000D9000000}">
      <text>
        <r>
          <rPr>
            <sz val="9"/>
            <color indexed="81"/>
            <rFont val="Tahoma"/>
            <family val="2"/>
          </rPr>
          <t>Oficio: 97846
Se incluye: Codigos UNSPSC
Fecha estimada
Mes publicacion
Duracion 
Modalidad
Si require vigencia futura
Valor vigencia futura</t>
        </r>
      </text>
    </comment>
    <comment ref="O407" authorId="3" shapeId="0" xr:uid="{00000000-0006-0000-0400-0000DA000000}">
      <text>
        <r>
          <rPr>
            <sz val="9"/>
            <color indexed="81"/>
            <rFont val="Tahoma"/>
            <family val="2"/>
          </rPr>
          <t>Oficio: 97846
Se incluye: Codigos UNSPSC
Fecha estimada
Mes publicacion
Duracion 
Modalidad
Si require vigencia futura
Valor vigencia futura</t>
        </r>
      </text>
    </comment>
    <comment ref="P407" authorId="3" shapeId="0" xr:uid="{00000000-0006-0000-0400-0000DB000000}">
      <text>
        <r>
          <rPr>
            <sz val="9"/>
            <color indexed="81"/>
            <rFont val="Tahoma"/>
            <family val="2"/>
          </rPr>
          <t>Oficio: 97846
Se incluye: Codigos UNSPSC
Fecha estimada
Mes publicacion
Duracion 
Modalidad
Si require vigencia futura
Valor vigencia futura</t>
        </r>
      </text>
    </comment>
    <comment ref="Q407" authorId="3" shapeId="0" xr:uid="{00000000-0006-0000-0400-0000DC000000}">
      <text>
        <r>
          <rPr>
            <sz val="9"/>
            <color indexed="81"/>
            <rFont val="Tahoma"/>
            <family val="2"/>
          </rPr>
          <t>Oficio: 97846
Se incluye: Codigos UNSPSC
Fecha estimada
Mes publicacion
Duracion 
Modalidad
Si require vigencia futura
Valor vigencia futura</t>
        </r>
      </text>
    </comment>
    <comment ref="R407" authorId="3" shapeId="0" xr:uid="{00000000-0006-0000-0400-0000DD00000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07" authorId="3" shapeId="0" xr:uid="{00000000-0006-0000-0400-0000DE000000}">
      <text>
        <r>
          <rPr>
            <sz val="9"/>
            <color indexed="81"/>
            <rFont val="Tahoma"/>
            <family val="2"/>
          </rPr>
          <t xml:space="preserve">Oficio: 97846
Se incluye: Codigos UNSPSC
Fecha estimada
Mes publicacion
Duracion 
Modalidad
Si require vigencia futura
Valor vigencia futura
</t>
        </r>
      </text>
    </comment>
    <comment ref="L408" authorId="3" shapeId="0" xr:uid="{00000000-0006-0000-0400-0000DF000000}">
      <text>
        <r>
          <rPr>
            <sz val="9"/>
            <color indexed="81"/>
            <rFont val="Tahoma"/>
            <family val="2"/>
          </rPr>
          <t>Oficio: 97846
Se incluye: Codigos UNSPSC
Fecha estimada
Mes publicacion
Duracion 
Modalidad
Si require vigencia futura
Valor vigencia futura</t>
        </r>
      </text>
    </comment>
    <comment ref="M408" authorId="1" shapeId="0" xr:uid="{00000000-0006-0000-0400-0000E000000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08" authorId="3" shapeId="0" xr:uid="{00000000-0006-0000-0400-0000E1000000}">
      <text>
        <r>
          <rPr>
            <sz val="9"/>
            <color indexed="81"/>
            <rFont val="Tahoma"/>
            <family val="2"/>
          </rPr>
          <t>Oficio: 97846
Se incluye: Codigos UNSPSC
Fecha estimada
Mes publicacion
Duracion 
Modalidad
Si require vigencia futura
Valor vigencia futura</t>
        </r>
      </text>
    </comment>
    <comment ref="O408" authorId="3" shapeId="0" xr:uid="{00000000-0006-0000-0400-0000E2000000}">
      <text>
        <r>
          <rPr>
            <sz val="9"/>
            <color indexed="81"/>
            <rFont val="Tahoma"/>
            <family val="2"/>
          </rPr>
          <t>Oficio: 97846
Se incluye: Codigos UNSPSC
Fecha estimada
Mes publicacion
Duracion 
Modalidad
Si require vigencia futura
Valor vigencia futura</t>
        </r>
      </text>
    </comment>
    <comment ref="P408" authorId="3" shapeId="0" xr:uid="{00000000-0006-0000-0400-0000E3000000}">
      <text>
        <r>
          <rPr>
            <sz val="9"/>
            <color indexed="81"/>
            <rFont val="Tahoma"/>
            <family val="2"/>
          </rPr>
          <t>Oficio: 97846
Se incluye: Codigos UNSPSC
Fecha estimada
Mes publicacion
Duracion 
Modalidad
Si require vigencia futura
Valor vigencia futura</t>
        </r>
      </text>
    </comment>
    <comment ref="R408" authorId="3" shapeId="0" xr:uid="{00000000-0006-0000-0400-0000E4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xr:uid="{00000000-0006-0000-0400-0000E5000000}">
      <text>
        <r>
          <rPr>
            <sz val="9"/>
            <color indexed="81"/>
            <rFont val="Tahoma"/>
            <family val="2"/>
          </rPr>
          <t>Oficio: 97846
Se incluye: Codigos UNSPSC
Fecha estimada
Mes publicacion
Duracion 
Modalidad
Si require vigencia futura
Valor vigencia futura</t>
        </r>
      </text>
    </comment>
    <comment ref="R409" authorId="1" shapeId="0" xr:uid="{00000000-0006-0000-0400-0000E600000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0" authorId="1" shapeId="0" xr:uid="{00000000-0006-0000-0400-0000E700000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1" authorId="1" shapeId="0" xr:uid="{00000000-0006-0000-0400-0000E800000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2" authorId="1" shapeId="0" xr:uid="{00000000-0006-0000-0400-0000E900000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xr:uid="{00000000-0006-0000-0400-0000EA00000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Miller Orlando Moreno Suarez</author>
  </authors>
  <commentList>
    <comment ref="L6" authorId="0" shapeId="0" xr:uid="{00000000-0006-0000-0500-000001000000}">
      <text>
        <r>
          <rPr>
            <sz val="9"/>
            <color indexed="81"/>
            <rFont val="Tahoma"/>
            <family val="2"/>
          </rPr>
          <t>Consulte este código del elemento a adquirir en la página web de "Colombia Compra Eficiente".</t>
        </r>
      </text>
    </comment>
    <comment ref="M6" authorId="0" shapeId="0" xr:uid="{00000000-0006-0000-05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500-000003000000}">
      <text>
        <r>
          <rPr>
            <sz val="9"/>
            <color indexed="81"/>
            <rFont val="Tahoma"/>
            <family val="2"/>
          </rPr>
          <t>Diligencie la fecha cuando se publicará en la pagina del SECOP, dia-mes-año</t>
        </r>
      </text>
    </comment>
    <comment ref="P6" authorId="0" shapeId="0" xr:uid="{00000000-0006-0000-0500-000004000000}">
      <text>
        <r>
          <rPr>
            <sz val="9"/>
            <color indexed="81"/>
            <rFont val="Tahoma"/>
            <family val="2"/>
          </rPr>
          <t>Diligencie el tiempo de duración del contrato en meses</t>
        </r>
      </text>
    </comment>
    <comment ref="Q6" authorId="0" shapeId="0" xr:uid="{00000000-0006-0000-0500-000005000000}">
      <text>
        <r>
          <rPr>
            <sz val="9"/>
            <color indexed="81"/>
            <rFont val="Tahoma"/>
            <family val="2"/>
          </rPr>
          <t>Esta columna la diligencia  Contratos</t>
        </r>
      </text>
    </comment>
    <comment ref="R6" authorId="0" shapeId="0" xr:uid="{00000000-0006-0000-05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500-000007000000}">
      <text>
        <r>
          <rPr>
            <sz val="9"/>
            <color indexed="81"/>
            <rFont val="Tahoma"/>
            <family val="2"/>
          </rPr>
          <t>Indique SI o NO requiere de vigencias futuras</t>
        </r>
      </text>
    </comment>
    <comment ref="T6" authorId="0" shapeId="0" xr:uid="{00000000-0006-0000-0500-000008000000}">
      <text>
        <r>
          <rPr>
            <sz val="9"/>
            <color indexed="81"/>
            <rFont val="Tahoma"/>
            <family val="2"/>
          </rPr>
          <t>Si el elemento a contratar requiere de vigencias futuras del 2025, se ingresa el valor total.</t>
        </r>
      </text>
    </comment>
    <comment ref="R75" authorId="1" shapeId="0" xr:uid="{00000000-0006-0000-0500-000009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SOLUCION DE CORREO ELECTRONICO</t>
        </r>
      </text>
    </comment>
    <comment ref="R81" authorId="1" shapeId="0" xr:uid="{00000000-0006-0000-0500-00000A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CERTIFICADOS DIGITALES DE FUNCION PUBLICA Y SSL</t>
        </r>
      </text>
    </comment>
    <comment ref="L146" authorId="1" shapeId="0" xr:uid="{00000000-0006-0000-0500-00000B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7" authorId="1" shapeId="0" xr:uid="{00000000-0006-0000-0500-00000C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8" authorId="1" shapeId="0" xr:uid="{00000000-0006-0000-0500-00000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9" authorId="1" shapeId="0" xr:uid="{00000000-0006-0000-0500-00000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50" authorId="1" shapeId="0" xr:uid="{00000000-0006-0000-0500-00000F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225" authorId="1" shapeId="0" xr:uid="{00000000-0006-0000-0500-000010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t>
        </r>
      </text>
    </comment>
    <comment ref="R226" authorId="1" shapeId="0" xr:uid="{00000000-0006-0000-0500-000011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9" authorId="1" shapeId="0" xr:uid="{00000000-0006-0000-0500-00001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270" authorId="1" shapeId="0" xr:uid="{00000000-0006-0000-0500-00001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271" authorId="1" shapeId="0" xr:uid="{00000000-0006-0000-0500-00001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272" authorId="1" shapeId="0" xr:uid="{00000000-0006-0000-0500-00001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t>
        </r>
      </text>
    </comment>
    <comment ref="R273" authorId="1" shapeId="0" xr:uid="{00000000-0006-0000-0500-000016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7.032.000
</t>
        </r>
        <r>
          <rPr>
            <b/>
            <sz val="9"/>
            <color indexed="81"/>
            <rFont val="Tahoma"/>
            <family val="2"/>
          </rPr>
          <t xml:space="preserve">Se recibe traslado de: </t>
        </r>
        <r>
          <rPr>
            <sz val="9"/>
            <color indexed="81"/>
            <rFont val="Tahoma"/>
            <family val="2"/>
          </rPr>
          <t>LAVADO Y DESINFECCION DE TANQUES DE AGUA POTABLE DE LAS VIVIENDAS FISCALES A NIVEL NACIONAL</t>
        </r>
      </text>
    </comment>
    <comment ref="R274" authorId="1" shapeId="0" xr:uid="{00000000-0006-0000-0500-000017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text>
    </comment>
    <comment ref="R275" authorId="1" shapeId="0" xr:uid="{00000000-0006-0000-0500-000018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281" authorId="1" shapeId="0" xr:uid="{00000000-0006-0000-0500-000019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285" authorId="1" shapeId="0" xr:uid="{00000000-0006-0000-0500-00001A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10" authorId="1" shapeId="0" xr:uid="{00000000-0006-0000-0500-00001B000000}">
      <text>
        <r>
          <rPr>
            <sz val="9"/>
            <color indexed="81"/>
            <rFont val="Tahoma"/>
            <family val="2"/>
          </rPr>
          <t xml:space="preserve">Oficio: 96256
Valor: $ 1.854.7640.690
Se recibe Traslado de:  Construcción de un edificio de Vivienda Fiscal de 10 pisos y 60 apartamentos en Puente Aranda- Bogota
</t>
        </r>
      </text>
    </comment>
    <comment ref="R311" authorId="1" shapeId="0" xr:uid="{00000000-0006-0000-0500-00001C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12" authorId="1" shapeId="0" xr:uid="{00000000-0006-0000-0500-00001D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313" authorId="1" shapeId="0" xr:uid="{00000000-0006-0000-0500-00001E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314" authorId="1" shapeId="0" xr:uid="{00000000-0006-0000-0500-00001F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18" authorId="1" shapeId="0" xr:uid="{00000000-0006-0000-0500-000020000000}">
      <text>
        <r>
          <rPr>
            <sz val="9"/>
            <color indexed="81"/>
            <rFont val="Tahoma"/>
            <family val="2"/>
          </rPr>
          <t xml:space="preserve">Oficio: 96256
Valor: $ 2.481.348.913
Se recibe Traslado de:  Construcción de un edificio de Vivienda Fiscal de 10 pisos y 60 apartamentos en Puente Aranda- Bogota
</t>
        </r>
      </text>
    </comment>
    <comment ref="R319" authorId="1" shapeId="0" xr:uid="{00000000-0006-0000-0500-000021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326" authorId="1" shapeId="0" xr:uid="{00000000-0006-0000-0500-000022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27" authorId="1" shapeId="0" xr:uid="{00000000-0006-0000-0500-000023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28" authorId="1" shapeId="0" xr:uid="{00000000-0006-0000-0500-000024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29" authorId="1" shapeId="0" xr:uid="{00000000-0006-0000-0500-00002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30" authorId="1" shapeId="0" xr:uid="{00000000-0006-0000-0500-000026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31" authorId="1" shapeId="0" xr:uid="{00000000-0006-0000-0500-000027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32" authorId="1" shapeId="0" xr:uid="{00000000-0006-0000-0500-000028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33" authorId="1" shapeId="0" xr:uid="{00000000-0006-0000-0500-000029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4" authorId="1" shapeId="0" xr:uid="{00000000-0006-0000-0500-00002A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5" authorId="1" shapeId="0" xr:uid="{00000000-0006-0000-0500-00002B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36" authorId="1" shapeId="0" xr:uid="{00000000-0006-0000-0500-00002C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37" authorId="1" shapeId="0" xr:uid="{00000000-0006-0000-0500-00002D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38" authorId="1" shapeId="0" xr:uid="{00000000-0006-0000-0500-00002E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39" authorId="1" shapeId="0" xr:uid="{00000000-0006-0000-0500-00002F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40" authorId="1" shapeId="0" xr:uid="{00000000-0006-0000-0500-000030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42" authorId="1" shapeId="0" xr:uid="{00000000-0006-0000-0500-000031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44" authorId="1" shapeId="0" xr:uid="{00000000-0006-0000-0500-000032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46" authorId="1" shapeId="0" xr:uid="{00000000-0006-0000-0500-000033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47" authorId="1" shapeId="0" xr:uid="{00000000-0006-0000-0500-000034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48" authorId="1" shapeId="0" xr:uid="{00000000-0006-0000-0500-000035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49" authorId="1" shapeId="0" xr:uid="{00000000-0006-0000-0500-000036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s>
  <commentList>
    <comment ref="L6" authorId="0" shapeId="0" xr:uid="{00000000-0006-0000-0600-000001000000}">
      <text>
        <r>
          <rPr>
            <sz val="9"/>
            <color indexed="81"/>
            <rFont val="Tahoma"/>
            <family val="2"/>
          </rPr>
          <t>Consulte este código del elemento a adquirir en la página web de "Colombia Compra Eficiente".</t>
        </r>
      </text>
    </comment>
    <comment ref="M6" authorId="0" shapeId="0" xr:uid="{00000000-0006-0000-06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600-000003000000}">
      <text>
        <r>
          <rPr>
            <sz val="9"/>
            <color indexed="81"/>
            <rFont val="Tahoma"/>
            <family val="2"/>
          </rPr>
          <t>Diligencie la fecha cuando se publicará en la pagina del SECOP, dia-mes-año</t>
        </r>
      </text>
    </comment>
    <comment ref="P6" authorId="0" shapeId="0" xr:uid="{00000000-0006-0000-0600-000004000000}">
      <text>
        <r>
          <rPr>
            <sz val="9"/>
            <color indexed="81"/>
            <rFont val="Tahoma"/>
            <family val="2"/>
          </rPr>
          <t>Diligencie el tiempo de duración del contrato en meses</t>
        </r>
      </text>
    </comment>
    <comment ref="Q6" authorId="0" shapeId="0" xr:uid="{00000000-0006-0000-0600-000005000000}">
      <text>
        <r>
          <rPr>
            <sz val="9"/>
            <color indexed="81"/>
            <rFont val="Tahoma"/>
            <family val="2"/>
          </rPr>
          <t>Esta columna la diligencia  Contratos</t>
        </r>
      </text>
    </comment>
    <comment ref="R6" authorId="0" shapeId="0" xr:uid="{00000000-0006-0000-06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600-000007000000}">
      <text>
        <r>
          <rPr>
            <sz val="9"/>
            <color indexed="81"/>
            <rFont val="Tahoma"/>
            <family val="2"/>
          </rPr>
          <t>Indique SI o NO requiere de vigencias futuras</t>
        </r>
      </text>
    </comment>
    <comment ref="T6" authorId="0" shapeId="0" xr:uid="{00000000-0006-0000-0600-000008000000}">
      <text>
        <r>
          <rPr>
            <sz val="9"/>
            <color indexed="81"/>
            <rFont val="Tahoma"/>
            <family val="2"/>
          </rPr>
          <t>Si el elemento a contratar requiere de vigencias futuras del 2025, se ingresa el valor total.</t>
        </r>
      </text>
    </comment>
  </commentList>
</comments>
</file>

<file path=xl/sharedStrings.xml><?xml version="1.0" encoding="utf-8"?>
<sst xmlns="http://schemas.openxmlformats.org/spreadsheetml/2006/main" count="180154" uniqueCount="113827">
  <si>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</si>
  <si>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</si>
  <si>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</si>
  <si>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</si>
  <si>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</si>
  <si>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</si>
  <si>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</si>
  <si>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</si>
  <si>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</si>
  <si>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</si>
  <si>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</si>
  <si>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</si>
  <si>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</si>
  <si>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</si>
  <si>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</si>
  <si>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</si>
  <si>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</si>
  <si>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</si>
  <si>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</si>
  <si>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</si>
  <si>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</si>
  <si>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</si>
  <si>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</si>
  <si>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</si>
  <si>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</si>
  <si>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</si>
  <si>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</si>
  <si>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</si>
  <si>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</si>
  <si>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</si>
  <si>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</si>
  <si>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</si>
  <si>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</si>
  <si>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</si>
  <si>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</si>
  <si>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</si>
  <si>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</si>
  <si>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</si>
  <si>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</si>
  <si>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</si>
  <si>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</si>
  <si>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</si>
  <si>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</si>
  <si>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</si>
  <si>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</si>
  <si>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</si>
  <si>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</si>
  <si>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</si>
  <si>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</si>
  <si>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</si>
  <si>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</si>
  <si>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</si>
  <si>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</si>
  <si>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</si>
  <si>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</si>
  <si>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</si>
  <si>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</si>
  <si>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</si>
  <si>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</si>
  <si>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</si>
  <si>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</si>
  <si>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</si>
  <si>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</si>
  <si>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</si>
  <si>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</si>
  <si>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</si>
  <si>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</si>
  <si>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</si>
  <si>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</si>
  <si>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</si>
  <si>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</si>
  <si>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</si>
  <si>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</si>
  <si>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</si>
  <si>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</si>
  <si>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</si>
  <si>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</si>
  <si>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</si>
  <si>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</si>
  <si>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</si>
  <si>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</si>
  <si>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</si>
  <si>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</si>
  <si>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</si>
  <si>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</si>
  <si>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</si>
  <si>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</si>
  <si>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</si>
  <si>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</si>
  <si>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</si>
  <si>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</si>
  <si>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</si>
  <si>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</si>
  <si>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</si>
  <si>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</si>
  <si>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</si>
  <si>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</si>
  <si>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</si>
  <si>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</si>
  <si>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</si>
  <si>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</si>
  <si>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</si>
  <si>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</si>
  <si>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</si>
  <si>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</si>
  <si>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</si>
  <si>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</si>
  <si>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</si>
  <si>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</si>
  <si>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</si>
  <si>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</si>
  <si>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</si>
  <si>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</si>
  <si>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</si>
  <si>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</si>
  <si>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</si>
  <si>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</si>
  <si>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</si>
  <si>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</si>
  <si>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</si>
  <si>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</si>
  <si>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</si>
  <si>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</si>
  <si>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</si>
  <si>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</si>
  <si>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</si>
  <si>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</si>
  <si>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</si>
  <si>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</si>
  <si>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</si>
  <si>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</si>
  <si>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</si>
  <si>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</si>
  <si>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</si>
  <si>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</si>
  <si>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</si>
  <si>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</si>
  <si>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</si>
  <si>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</si>
  <si>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</si>
  <si>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</si>
  <si>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</si>
  <si>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</si>
  <si>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</si>
  <si>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</si>
  <si>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</si>
  <si>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</si>
  <si>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</si>
  <si>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</si>
  <si>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</si>
  <si>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</si>
  <si>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</si>
  <si>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</si>
  <si>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</si>
  <si>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</si>
  <si>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</si>
  <si>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</si>
  <si>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</si>
  <si>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</si>
  <si>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</si>
  <si>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</si>
  <si>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</si>
  <si>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</si>
  <si>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</si>
  <si>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</si>
  <si>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</si>
  <si>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</si>
  <si>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</si>
  <si>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</si>
  <si>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</si>
  <si>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</si>
  <si>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</si>
  <si>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</si>
  <si>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</si>
  <si>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</si>
  <si>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</si>
  <si>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</si>
  <si>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</si>
  <si>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</si>
  <si>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</si>
  <si>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</si>
  <si>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</si>
  <si>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</si>
  <si>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</si>
  <si>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</si>
  <si>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</si>
  <si>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</si>
  <si>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</si>
  <si>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</si>
  <si>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</si>
  <si>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</si>
  <si>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</si>
  <si>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</si>
  <si>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</si>
  <si>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</si>
  <si>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</si>
  <si>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</si>
  <si>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</si>
  <si>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</si>
  <si>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</si>
  <si>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</si>
  <si>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</si>
  <si>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</si>
  <si>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</si>
  <si>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</si>
  <si>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</si>
  <si>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</si>
  <si>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</si>
  <si>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</si>
  <si>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</si>
  <si>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</si>
  <si>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</si>
  <si>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</si>
  <si>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</si>
  <si>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</si>
  <si>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</si>
  <si>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</si>
  <si>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</si>
  <si>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</si>
  <si>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</si>
  <si>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</si>
  <si>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</si>
  <si>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</si>
  <si>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</si>
  <si>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</si>
  <si>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</si>
  <si>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</si>
  <si>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</si>
  <si>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</si>
  <si>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</si>
  <si>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</si>
  <si>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</si>
  <si>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</si>
  <si>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</si>
  <si>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</si>
  <si>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</si>
  <si>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</si>
  <si>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</si>
  <si>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</si>
  <si>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</si>
  <si>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</si>
  <si>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</si>
  <si>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</si>
  <si>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</si>
  <si>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</si>
  <si>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</si>
  <si>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</si>
  <si>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</si>
  <si>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</si>
  <si>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</si>
  <si>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</si>
  <si>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</si>
  <si>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</si>
  <si>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</si>
  <si>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</si>
  <si>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</si>
  <si>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</si>
  <si>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</si>
  <si>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</si>
  <si>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</si>
  <si>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</si>
  <si>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</si>
  <si>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</si>
  <si>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</si>
  <si>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</si>
  <si>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</si>
  <si>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</si>
  <si>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</si>
  <si>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</si>
  <si>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</si>
  <si>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</si>
  <si>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</si>
  <si>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</si>
  <si>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</si>
  <si>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</si>
  <si>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</si>
  <si>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</si>
  <si>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</si>
  <si>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</si>
  <si>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</si>
  <si>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</si>
  <si>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</si>
  <si>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</si>
  <si>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</si>
  <si>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</si>
  <si>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</si>
  <si>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</si>
  <si>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</si>
  <si>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</si>
  <si>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</si>
  <si>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</si>
  <si>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</si>
  <si>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</si>
  <si>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</si>
  <si>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</si>
  <si>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</si>
  <si>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</si>
  <si>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</si>
  <si>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</si>
  <si>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</si>
  <si>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</si>
  <si>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</si>
  <si>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</si>
  <si>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</si>
  <si>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</si>
  <si>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</si>
  <si>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</si>
  <si>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</si>
  <si>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</si>
  <si>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</si>
  <si>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</si>
  <si>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</si>
  <si>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</si>
  <si>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</si>
  <si>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</si>
  <si>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</si>
  <si>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</si>
  <si>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</si>
  <si>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</si>
  <si>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</si>
  <si>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</si>
  <si>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</si>
  <si>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</si>
  <si>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</si>
  <si>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</si>
  <si>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</si>
  <si>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</si>
  <si>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</si>
  <si>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</si>
  <si>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</si>
  <si>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</si>
  <si>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</si>
  <si>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</si>
  <si>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</si>
  <si>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</si>
  <si>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</si>
  <si>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</si>
  <si>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</si>
  <si>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</si>
  <si>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</si>
  <si>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</si>
  <si>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</si>
  <si>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</si>
  <si>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</si>
  <si>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</si>
  <si>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</si>
  <si>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</si>
  <si>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</si>
  <si>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</si>
  <si>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</si>
  <si>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</si>
  <si>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</si>
  <si>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</si>
  <si>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</si>
  <si>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</si>
  <si>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</si>
  <si>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</si>
  <si>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</si>
  <si>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</si>
  <si>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</si>
  <si>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</si>
  <si>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</si>
  <si>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</si>
  <si>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</si>
  <si>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</si>
  <si>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</si>
  <si>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</si>
  <si>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</si>
  <si>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</si>
  <si>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</si>
  <si>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</si>
  <si>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</si>
  <si>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</si>
  <si>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</si>
  <si>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</si>
  <si>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</si>
  <si>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</si>
  <si>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</si>
  <si>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</si>
  <si>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</si>
  <si>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</si>
  <si>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</si>
  <si>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</si>
  <si>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</si>
  <si>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</si>
  <si>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</si>
  <si>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</si>
  <si>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</si>
  <si>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</si>
  <si>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</si>
  <si>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</si>
  <si>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</si>
  <si>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</si>
  <si>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</si>
  <si>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</si>
  <si>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</si>
  <si>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</si>
  <si>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</si>
  <si>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</si>
  <si>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</si>
  <si>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</si>
  <si>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</si>
  <si>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</si>
  <si>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</si>
  <si>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</si>
  <si>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</si>
  <si>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</si>
  <si>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</si>
  <si>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</si>
  <si>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</si>
  <si>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</si>
  <si>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</si>
  <si>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</si>
  <si>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</si>
  <si>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</si>
  <si>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</si>
  <si>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</si>
  <si>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</si>
  <si>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</si>
  <si>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</si>
  <si>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</si>
  <si>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</si>
  <si>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</si>
  <si>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</si>
  <si>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</si>
  <si>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</si>
  <si>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</si>
  <si>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</si>
  <si>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</si>
  <si>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</si>
  <si>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</si>
  <si>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</si>
  <si>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</si>
  <si>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</si>
  <si>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</si>
  <si>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</si>
  <si>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</si>
  <si>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</si>
  <si>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</si>
  <si>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</si>
  <si>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</si>
  <si>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</si>
  <si>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</si>
  <si>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</si>
  <si>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</si>
  <si>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</si>
  <si>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</si>
  <si>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</si>
  <si>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</si>
  <si>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</si>
  <si>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</si>
  <si>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</si>
  <si>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</si>
  <si>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</si>
  <si>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</si>
  <si>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</si>
  <si>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</si>
  <si>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</si>
  <si>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</si>
  <si>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</si>
  <si>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</si>
  <si>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</si>
  <si>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</si>
  <si>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</si>
  <si>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</si>
  <si>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</si>
  <si>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</si>
  <si>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</si>
  <si>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</si>
  <si>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</si>
  <si>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</si>
  <si>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</si>
  <si>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</si>
  <si>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</si>
  <si>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</si>
  <si>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</si>
  <si>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</si>
  <si>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</si>
  <si>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</si>
  <si>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</si>
  <si>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</si>
  <si>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</si>
  <si>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</si>
  <si>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</si>
  <si>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</si>
  <si>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</si>
  <si>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</si>
  <si>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</si>
  <si>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</si>
  <si>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</si>
  <si>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</si>
  <si>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</si>
  <si>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</si>
  <si>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</si>
  <si>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</si>
  <si>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</si>
  <si>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</si>
  <si>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</si>
  <si>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</si>
  <si>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</si>
  <si>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</si>
  <si>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</si>
  <si>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</si>
  <si>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</si>
  <si>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</si>
  <si>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</si>
  <si>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</si>
  <si>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</si>
  <si>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</si>
  <si>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</si>
  <si>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</si>
  <si>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</si>
  <si>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</si>
  <si>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</si>
  <si>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</si>
  <si>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</si>
  <si>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</si>
  <si>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</si>
  <si>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</si>
  <si>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</si>
  <si>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</si>
  <si>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</si>
  <si>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</si>
  <si>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</si>
  <si>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</si>
  <si>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</si>
  <si>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</si>
  <si>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</si>
  <si>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</si>
  <si>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</si>
  <si>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</si>
  <si>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</si>
  <si>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</si>
  <si>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</si>
  <si>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</si>
  <si>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</si>
  <si>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</si>
  <si>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</si>
  <si>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</si>
  <si>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</si>
  <si>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</si>
  <si>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</si>
  <si>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</si>
  <si>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</si>
  <si>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</si>
  <si>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</si>
  <si>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</si>
  <si>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</si>
  <si>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</si>
  <si>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</si>
  <si>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</si>
  <si>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</si>
  <si>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</si>
  <si>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</si>
  <si>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</si>
  <si>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</si>
  <si>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</si>
  <si>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</si>
  <si>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</si>
  <si>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</si>
  <si>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</si>
  <si>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</si>
  <si>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</si>
  <si>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</si>
  <si>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</si>
  <si>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</si>
  <si>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</si>
  <si>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</si>
  <si>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</si>
  <si>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</si>
  <si>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</si>
  <si>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</si>
  <si>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</si>
  <si>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</si>
  <si>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</si>
  <si>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</si>
  <si>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</si>
  <si>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</si>
  <si>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</si>
  <si>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</si>
  <si>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</si>
  <si>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</si>
  <si>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</si>
  <si>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</si>
  <si>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</si>
  <si>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</si>
  <si>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</si>
  <si>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</si>
  <si>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</si>
  <si>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</si>
  <si>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</si>
  <si>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</si>
  <si>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</si>
  <si>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</si>
  <si>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</si>
  <si>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</si>
  <si>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</si>
  <si>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</si>
  <si>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</si>
  <si>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</si>
  <si>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</si>
  <si>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</si>
  <si>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</si>
  <si>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</si>
  <si>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</si>
  <si>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</si>
  <si>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</si>
  <si>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</si>
  <si>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</si>
  <si>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</si>
  <si>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</si>
  <si>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</si>
  <si>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</si>
  <si>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</si>
  <si>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</si>
  <si>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</si>
  <si>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</si>
  <si>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</si>
  <si>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</si>
  <si>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</si>
  <si>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</si>
  <si>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</si>
  <si>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</si>
  <si>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</si>
  <si>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</si>
  <si>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</si>
  <si>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</si>
  <si>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</si>
  <si>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</si>
  <si>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</si>
  <si>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</si>
  <si>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</si>
  <si>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</si>
  <si>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</si>
  <si>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</si>
  <si>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</si>
  <si>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</si>
  <si>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</si>
  <si>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</si>
  <si>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</si>
  <si>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</si>
  <si>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</si>
  <si>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</si>
  <si>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</si>
  <si>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</si>
  <si>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</si>
  <si>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</si>
  <si>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</si>
  <si>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</si>
  <si>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</si>
  <si>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</si>
  <si>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</si>
  <si>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</si>
  <si>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</si>
  <si>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</si>
  <si>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</si>
  <si>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</si>
  <si>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</si>
  <si>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</si>
  <si>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</si>
  <si>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</si>
  <si>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</si>
  <si>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</si>
  <si>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</si>
  <si>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</si>
  <si>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</si>
  <si>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</si>
  <si>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</si>
  <si>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</si>
  <si>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</si>
  <si>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</si>
  <si>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</si>
  <si>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</si>
  <si>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</si>
  <si>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</si>
  <si>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</si>
  <si>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</si>
  <si>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</si>
  <si>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</si>
  <si>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</si>
  <si>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</si>
  <si>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</si>
  <si>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</si>
  <si>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</si>
  <si>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</si>
  <si>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</si>
  <si>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</si>
  <si>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</si>
  <si>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</si>
  <si>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</si>
  <si>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</si>
  <si>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</si>
  <si>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</si>
  <si>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</si>
  <si>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</si>
  <si>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</si>
  <si>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</si>
  <si>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</si>
  <si>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</si>
  <si>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</si>
  <si>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</si>
  <si>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</si>
  <si>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</si>
  <si>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</si>
  <si>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</si>
  <si>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</si>
  <si>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</si>
  <si>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</si>
  <si>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</si>
  <si>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</si>
  <si>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</si>
  <si>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</si>
  <si>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</si>
  <si>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</si>
  <si>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</si>
  <si>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</si>
  <si>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</si>
  <si>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</si>
  <si>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</si>
  <si>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</si>
  <si>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</si>
  <si>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</si>
  <si>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</si>
  <si>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</si>
  <si>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</si>
  <si>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</si>
  <si>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</si>
  <si>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</si>
  <si>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</si>
  <si>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</si>
  <si>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</si>
  <si>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</si>
  <si>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</si>
  <si>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</si>
  <si>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</si>
  <si>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</si>
  <si>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</si>
  <si>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</si>
  <si>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</si>
  <si>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</si>
  <si>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</si>
  <si>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</si>
  <si>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</si>
  <si>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</si>
  <si>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</si>
  <si>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</si>
  <si>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</si>
  <si>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</si>
  <si>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</si>
  <si>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</si>
  <si>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</si>
  <si>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</si>
  <si>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</si>
  <si>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</si>
  <si>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</si>
  <si>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</si>
  <si>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</si>
  <si>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</si>
  <si>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</si>
  <si>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</si>
  <si>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</si>
  <si>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</si>
  <si>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</si>
  <si>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</si>
  <si>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</si>
  <si>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</si>
  <si>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</si>
  <si>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</si>
  <si>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</si>
  <si>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</si>
  <si>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</si>
  <si>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</si>
  <si>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</si>
  <si>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</si>
  <si>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</si>
  <si>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</si>
  <si>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</si>
  <si>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</si>
  <si>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</si>
  <si>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</si>
  <si>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</si>
  <si>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</si>
  <si>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</si>
  <si>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</si>
  <si>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</si>
  <si>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</si>
  <si>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</si>
  <si>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</si>
  <si>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</si>
  <si>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</si>
  <si>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</si>
  <si>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</si>
  <si>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</si>
  <si>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</si>
  <si>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</si>
  <si>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</si>
  <si>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</si>
  <si>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</si>
  <si>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</si>
  <si>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</si>
  <si>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</si>
  <si>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</si>
  <si>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</si>
  <si>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</si>
  <si>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</si>
  <si>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</si>
  <si>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</si>
  <si>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</si>
  <si>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</si>
  <si>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</si>
  <si>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</si>
  <si>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</si>
  <si>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</si>
  <si>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</si>
  <si>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</si>
  <si>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</si>
  <si>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</si>
  <si>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</si>
  <si>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</si>
  <si>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</si>
  <si>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</si>
  <si>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</si>
  <si>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</si>
  <si>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</si>
  <si>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</si>
  <si>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</si>
  <si>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</si>
  <si>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</si>
  <si>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</si>
  <si>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</si>
  <si>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</si>
  <si>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</si>
  <si>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</si>
  <si>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</si>
  <si>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</si>
  <si>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</si>
  <si>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</si>
  <si>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</si>
  <si>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</si>
  <si>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</si>
  <si>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</si>
  <si>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</si>
  <si>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</si>
  <si>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</si>
  <si>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</si>
  <si>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</si>
  <si>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</si>
  <si>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</si>
  <si>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</si>
  <si>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</si>
  <si>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</si>
  <si>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</si>
  <si>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</si>
  <si>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</si>
  <si>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</si>
  <si>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</si>
  <si>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</si>
  <si>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</si>
  <si>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</si>
  <si>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</si>
  <si>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</si>
  <si>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</si>
  <si>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</si>
  <si>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</si>
  <si>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</si>
  <si>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</si>
  <si>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</si>
  <si>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</si>
  <si>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</si>
  <si>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</si>
  <si>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</si>
  <si>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</si>
  <si>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</si>
  <si>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</si>
  <si>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</si>
  <si>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</si>
  <si>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</si>
  <si>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</si>
  <si>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</si>
  <si>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</si>
  <si>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</si>
  <si>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</si>
  <si>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</si>
  <si>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</si>
  <si>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</si>
  <si>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</si>
  <si>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</si>
  <si>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</si>
  <si>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</si>
  <si>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</si>
  <si>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</si>
  <si>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</si>
  <si>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</si>
  <si>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</si>
  <si>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</si>
  <si>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</si>
  <si>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</si>
  <si>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</si>
  <si>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</si>
  <si>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</si>
  <si>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</si>
  <si>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</si>
  <si>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</si>
  <si>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</si>
  <si>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</si>
  <si>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</si>
  <si>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</si>
  <si>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</si>
  <si>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</si>
  <si>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</si>
  <si>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</si>
  <si>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</si>
  <si>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</si>
  <si>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</si>
  <si>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</si>
  <si>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</si>
  <si>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</si>
  <si>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</si>
  <si>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</si>
  <si>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</si>
  <si>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</si>
  <si>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</si>
  <si>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</si>
  <si>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</si>
  <si>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</si>
  <si>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</si>
  <si>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</si>
  <si>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</si>
  <si>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</si>
  <si>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</si>
  <si>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</si>
  <si>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</si>
  <si>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</si>
  <si>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</si>
  <si>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</si>
  <si>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</si>
  <si>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</si>
  <si>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</si>
  <si>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</si>
  <si>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</si>
  <si>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</si>
  <si>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</si>
  <si>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</si>
  <si>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</si>
  <si>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</si>
  <si>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</si>
  <si>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</si>
  <si>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</si>
  <si>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</si>
  <si>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</si>
  <si>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</si>
  <si>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</si>
  <si>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</si>
  <si>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</si>
  <si>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</si>
  <si>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</si>
  <si>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</si>
  <si>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</si>
  <si>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</si>
  <si>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</si>
  <si>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</si>
  <si>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</si>
  <si>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</si>
  <si>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</si>
  <si>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</si>
  <si>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</si>
  <si>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</si>
  <si>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</si>
  <si>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</si>
  <si>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</si>
  <si>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</si>
  <si>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</si>
  <si>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</si>
  <si>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</si>
  <si>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</si>
  <si>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</si>
  <si>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</si>
  <si>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</si>
  <si>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</si>
  <si>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</si>
  <si>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</si>
  <si>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</si>
  <si>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</si>
  <si>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</si>
  <si>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</si>
  <si>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</si>
  <si>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</si>
  <si>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</si>
  <si>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</si>
  <si>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</si>
  <si>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</si>
  <si>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</si>
  <si>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</si>
  <si>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</si>
  <si>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</si>
  <si>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</si>
  <si>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</si>
  <si>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</si>
  <si>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</si>
  <si>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</si>
  <si>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</si>
  <si>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</si>
  <si>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</si>
  <si>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</si>
  <si>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</si>
  <si>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</si>
  <si>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</si>
  <si>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</si>
  <si>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</si>
  <si>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</si>
  <si>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</si>
  <si>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</si>
  <si>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</si>
  <si>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</si>
  <si>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</si>
  <si>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</si>
  <si>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</si>
  <si>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</si>
  <si>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</si>
  <si>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</si>
  <si>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</si>
  <si>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</si>
  <si>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</si>
  <si>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</si>
  <si>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</si>
  <si>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</si>
  <si>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</si>
  <si>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</si>
  <si>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</si>
  <si>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</si>
  <si>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</si>
  <si>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</si>
  <si>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</si>
  <si>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</si>
  <si>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</si>
  <si>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</si>
  <si>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</si>
  <si>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</si>
  <si>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</si>
  <si>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</si>
  <si>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</si>
  <si>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</si>
  <si>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</si>
  <si>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</si>
  <si>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</si>
  <si>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</si>
  <si>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</si>
  <si>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</si>
  <si>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</si>
  <si>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</si>
  <si>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</si>
  <si>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</si>
  <si>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</si>
  <si>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</si>
  <si>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</si>
  <si>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</si>
  <si>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</si>
  <si>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</si>
  <si>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</si>
  <si>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</si>
  <si>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</si>
  <si>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</si>
  <si>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</si>
  <si>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</si>
  <si>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</si>
  <si>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</si>
  <si>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</si>
  <si>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</si>
  <si>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</si>
  <si>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</si>
  <si>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</si>
  <si>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</si>
  <si>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</si>
  <si>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</si>
  <si>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</si>
  <si>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</si>
  <si>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</si>
  <si>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</si>
  <si>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</si>
  <si>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</si>
  <si>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</si>
  <si>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</si>
  <si>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</si>
  <si>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</si>
  <si>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</si>
  <si>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</si>
  <si>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</si>
  <si>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</si>
  <si>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</si>
  <si>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</si>
  <si>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</si>
  <si>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</si>
  <si>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</si>
  <si>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</si>
  <si>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</si>
  <si>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</si>
  <si>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</si>
  <si>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</si>
  <si>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</si>
  <si>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</si>
  <si>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</si>
  <si>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</si>
  <si>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</si>
  <si>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</si>
  <si>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</si>
  <si>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</si>
  <si>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</si>
  <si>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</si>
  <si>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</si>
  <si>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</si>
  <si>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</si>
  <si>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</si>
  <si>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</si>
  <si>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</si>
  <si>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</si>
  <si>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</si>
  <si>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</si>
  <si>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</si>
  <si>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</si>
  <si>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</si>
  <si>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</si>
  <si>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</si>
  <si>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</si>
  <si>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</si>
  <si>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</si>
  <si>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</si>
  <si>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</si>
  <si>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</si>
  <si>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</si>
  <si>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</si>
  <si>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</si>
  <si>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</si>
  <si>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</si>
  <si>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</si>
  <si>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</si>
  <si>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</si>
  <si>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</si>
  <si>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</si>
  <si>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</si>
  <si>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</si>
  <si>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</si>
  <si>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</si>
  <si>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</si>
  <si>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</si>
  <si>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</si>
  <si>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</si>
  <si>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</si>
  <si>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</si>
  <si>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</si>
  <si>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</si>
  <si>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</si>
  <si>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</si>
  <si>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</si>
  <si>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</si>
  <si>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</si>
  <si>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</si>
  <si>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</si>
  <si>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</si>
  <si>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</si>
  <si>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</si>
  <si>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</si>
  <si>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</si>
  <si>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</si>
  <si>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</si>
  <si>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</si>
  <si>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</si>
  <si>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</si>
  <si>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</si>
  <si>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</si>
  <si>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</si>
  <si>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</si>
  <si>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</si>
  <si>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</si>
  <si>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</si>
  <si>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</si>
  <si>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</si>
  <si>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</si>
  <si>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</si>
  <si>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</si>
  <si>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</si>
  <si>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</si>
  <si>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</si>
  <si>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</si>
  <si>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</si>
  <si>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</si>
  <si>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</si>
  <si>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</si>
  <si>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</si>
  <si>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</si>
  <si>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</si>
  <si>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</si>
  <si>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</si>
  <si>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</si>
  <si>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</si>
  <si>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</si>
  <si>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</si>
  <si>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</si>
  <si>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</si>
  <si>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</si>
  <si>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</si>
  <si>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</si>
  <si>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</si>
  <si>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</si>
  <si>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</si>
  <si>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</si>
  <si>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</si>
  <si>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</si>
  <si>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</si>
  <si>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</si>
  <si>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</si>
  <si>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</si>
  <si>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</si>
  <si>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</si>
  <si>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</si>
  <si>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</si>
  <si>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</si>
  <si>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</si>
  <si>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</si>
  <si>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</si>
  <si>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</si>
  <si>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</si>
  <si>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</si>
  <si>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</si>
  <si>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</si>
  <si>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</si>
  <si>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</si>
  <si>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</si>
  <si>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</si>
  <si>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</si>
  <si>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</si>
  <si>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</si>
  <si>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</si>
  <si>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</si>
  <si>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</si>
  <si>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</si>
  <si>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</si>
  <si>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</si>
  <si>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</si>
  <si>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</si>
  <si>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</si>
  <si>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</si>
  <si>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</si>
  <si>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</si>
  <si>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</si>
  <si>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</si>
  <si>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</si>
  <si>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</si>
  <si>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</si>
  <si>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</si>
  <si>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</si>
  <si>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</si>
  <si>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</si>
  <si>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</si>
  <si>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</si>
  <si>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</si>
  <si>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</si>
  <si>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</si>
  <si>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</si>
  <si>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</si>
  <si>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</si>
  <si>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</si>
  <si>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</si>
  <si>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</si>
  <si>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</si>
  <si>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</si>
  <si>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</si>
  <si>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</si>
  <si>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</si>
  <si>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</si>
  <si>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</si>
  <si>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</si>
  <si>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</si>
  <si>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</si>
  <si>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</si>
  <si>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</si>
  <si>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</si>
  <si>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</si>
  <si>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</si>
  <si>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</si>
  <si>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</si>
  <si>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</si>
  <si>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</si>
  <si>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</si>
  <si>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</si>
  <si>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</si>
  <si>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</si>
  <si>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</si>
  <si>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</si>
  <si>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</si>
  <si>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</si>
  <si>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</si>
  <si>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</si>
  <si>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</si>
  <si>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</si>
  <si>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</si>
  <si>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</si>
  <si>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</si>
  <si>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</si>
  <si>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</si>
  <si>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</si>
  <si>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</si>
  <si>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</si>
  <si>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</si>
  <si>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</si>
  <si>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</si>
  <si>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</si>
  <si>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</si>
  <si>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</si>
  <si>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</si>
  <si>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</si>
  <si>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</si>
  <si>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</si>
  <si>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</si>
  <si>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</si>
  <si>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</si>
  <si>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</si>
  <si>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</si>
  <si>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</si>
  <si>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</si>
  <si>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</si>
  <si>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</si>
  <si>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</si>
  <si>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</si>
  <si>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</si>
  <si>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</si>
  <si>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</si>
  <si>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</si>
  <si>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</si>
  <si>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</si>
  <si>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</si>
  <si>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</si>
  <si>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</si>
  <si>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</si>
  <si>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</si>
  <si>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</si>
  <si>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</si>
  <si>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</si>
  <si>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</si>
  <si>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</si>
  <si>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</si>
  <si>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</si>
  <si>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</si>
  <si>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</si>
  <si>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</si>
  <si>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</si>
  <si>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</si>
  <si>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</si>
  <si>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</si>
  <si>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</si>
  <si>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</si>
  <si>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</si>
  <si>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</si>
  <si>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</si>
  <si>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</si>
  <si>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</si>
  <si>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</si>
  <si>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</si>
  <si>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</si>
  <si>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</si>
  <si>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</si>
  <si>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</si>
  <si>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</si>
  <si>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</si>
  <si>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</si>
  <si>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</si>
  <si>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</si>
  <si>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</si>
  <si>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</si>
  <si>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</si>
  <si>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</si>
  <si>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</si>
  <si>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</si>
  <si>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</si>
  <si>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</si>
  <si>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</si>
  <si>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</si>
  <si>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</si>
  <si>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</si>
  <si>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</si>
  <si>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</si>
  <si>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</si>
  <si>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</si>
  <si>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</si>
  <si>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</si>
  <si>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</si>
  <si>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</si>
  <si>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</si>
  <si>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</si>
  <si>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</si>
  <si>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</si>
  <si>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</si>
  <si>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</si>
  <si>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</si>
  <si>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</si>
  <si>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</si>
  <si>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</si>
  <si>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</si>
  <si>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</si>
  <si>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</si>
  <si>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</si>
  <si>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</si>
  <si>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</si>
  <si>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</si>
  <si>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</si>
  <si>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</si>
  <si>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</si>
  <si>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</si>
  <si>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</si>
  <si>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</si>
  <si>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</si>
  <si>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</si>
  <si>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</si>
  <si>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</si>
  <si>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</si>
  <si>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</si>
  <si>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</si>
  <si>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</si>
  <si>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</si>
  <si>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</si>
  <si>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</si>
  <si>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</si>
  <si>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</si>
  <si>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</si>
  <si>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</si>
  <si>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</si>
  <si>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</si>
  <si>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</si>
  <si>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</si>
  <si>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</si>
  <si>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</si>
  <si>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</si>
  <si>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</si>
  <si>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</si>
  <si>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</si>
  <si>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</si>
  <si>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</si>
  <si>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</si>
  <si>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</si>
  <si>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</si>
  <si>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</si>
  <si>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</si>
  <si>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</si>
  <si>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</si>
  <si>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</si>
  <si>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</si>
  <si>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</si>
  <si>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</si>
  <si>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</si>
  <si>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</si>
  <si>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</si>
  <si>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</si>
  <si>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</si>
  <si>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</si>
  <si>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</si>
  <si>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</si>
  <si>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</si>
  <si>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</si>
  <si>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</si>
  <si>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</si>
  <si>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</si>
  <si>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</si>
  <si>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</si>
  <si>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</si>
  <si>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</si>
  <si>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</si>
  <si>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</si>
  <si>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</si>
  <si>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</si>
  <si>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</si>
  <si>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</si>
  <si>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</si>
  <si>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</si>
  <si>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</si>
  <si>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</si>
  <si>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</si>
  <si>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</si>
  <si>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</si>
  <si>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</si>
  <si>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</si>
  <si>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</si>
  <si>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</si>
  <si>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</si>
  <si>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</si>
  <si>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</si>
  <si>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</si>
  <si>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</si>
  <si>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</si>
  <si>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</si>
  <si>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</si>
  <si>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</si>
  <si>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</si>
  <si>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</si>
  <si>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</si>
  <si>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</si>
  <si>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</si>
  <si>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</si>
  <si>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</si>
  <si>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</si>
  <si>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</si>
  <si>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</si>
  <si>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</si>
  <si>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</si>
  <si>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</si>
  <si>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</si>
  <si>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</si>
  <si>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</si>
  <si>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</si>
  <si>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</si>
  <si>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</si>
  <si>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</si>
  <si>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</si>
  <si>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</si>
  <si>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</si>
  <si>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</si>
  <si>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</si>
  <si>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</si>
  <si>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</si>
  <si>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</si>
  <si>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</si>
  <si>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</si>
  <si>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</si>
  <si>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</si>
  <si>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</si>
  <si>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</si>
  <si>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</si>
  <si>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</si>
  <si>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</si>
  <si>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</si>
  <si>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</si>
  <si>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</si>
  <si>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</si>
  <si>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</si>
  <si>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</si>
  <si>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</si>
  <si>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</si>
  <si>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</si>
  <si>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</si>
  <si>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</si>
  <si>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</si>
  <si>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</si>
  <si>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</si>
  <si>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</si>
  <si>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</si>
  <si>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</si>
  <si>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</si>
  <si>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</si>
  <si>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</si>
  <si>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</si>
  <si>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</si>
  <si>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</si>
  <si>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</si>
  <si>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</si>
  <si>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</si>
  <si>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</si>
  <si>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</si>
  <si>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</si>
  <si>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</si>
  <si>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</si>
  <si>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</si>
  <si>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</si>
  <si>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</si>
  <si>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</si>
  <si>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</si>
  <si>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</si>
  <si>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</si>
  <si>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</si>
  <si>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</si>
  <si>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</si>
  <si>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</si>
  <si>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</si>
  <si>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</si>
  <si>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</si>
  <si>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</si>
  <si>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</si>
  <si>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</si>
  <si>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</si>
  <si>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</si>
  <si>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</si>
  <si>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</si>
  <si>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</si>
  <si>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</si>
  <si>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</si>
  <si>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</si>
  <si>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</si>
  <si>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</si>
  <si>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</si>
  <si>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</si>
  <si>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</si>
  <si>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</si>
  <si>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</si>
  <si>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</si>
  <si>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</si>
  <si>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</si>
  <si>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</si>
  <si>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</si>
  <si>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</si>
  <si>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</si>
  <si>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</si>
  <si>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</si>
  <si>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</si>
  <si>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</si>
  <si>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</si>
  <si>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</si>
  <si>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</si>
  <si>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</si>
  <si>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</si>
  <si>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</si>
  <si>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</si>
  <si>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</si>
  <si>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</si>
  <si>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</si>
  <si>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</si>
  <si>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</si>
  <si>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</si>
  <si>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</si>
  <si>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</si>
  <si>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</si>
  <si>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</si>
  <si>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</si>
  <si>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</si>
  <si>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</si>
  <si>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</si>
  <si>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</si>
  <si>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</si>
  <si>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</si>
  <si>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</si>
  <si>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</si>
  <si>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</si>
  <si>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</si>
  <si>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</si>
  <si>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</si>
  <si>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</si>
  <si>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</si>
  <si>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</si>
  <si>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</si>
  <si>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</si>
  <si>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</si>
  <si>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</si>
  <si>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</si>
  <si>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</si>
  <si>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</si>
  <si>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</si>
  <si>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</si>
  <si>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</si>
  <si>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</si>
  <si>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</si>
  <si>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</si>
  <si>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</si>
  <si>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</si>
  <si>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</si>
  <si>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</si>
  <si>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</si>
  <si>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</si>
  <si>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</si>
  <si>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</si>
  <si>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</si>
  <si>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</si>
  <si>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</si>
  <si>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</si>
  <si>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</si>
  <si>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</si>
  <si>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</si>
  <si>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</si>
  <si>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</si>
  <si>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</si>
  <si>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</si>
  <si>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</si>
  <si>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</si>
  <si>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</si>
  <si>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</si>
  <si>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</si>
  <si>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</si>
  <si>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</si>
  <si>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</si>
  <si>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</si>
  <si>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</si>
  <si>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</si>
  <si>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</si>
  <si>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</si>
  <si>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</si>
  <si>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</si>
  <si>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</si>
  <si>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</si>
  <si>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</si>
  <si>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</si>
  <si>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</si>
  <si>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</si>
  <si>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</si>
  <si>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</si>
  <si>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</si>
  <si>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</si>
  <si>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</si>
  <si>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</si>
  <si>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</si>
  <si>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</si>
  <si>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</si>
  <si>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</si>
  <si>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</si>
  <si>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</si>
  <si>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</si>
  <si>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</si>
  <si>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</si>
  <si>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</si>
  <si>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</si>
  <si>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</si>
  <si>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</si>
  <si>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</si>
  <si>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</si>
  <si>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</si>
  <si>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</si>
  <si>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</si>
  <si>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</si>
  <si>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</si>
  <si>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</si>
  <si>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</si>
  <si>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</si>
  <si>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</si>
  <si>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</si>
  <si>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</si>
  <si>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</si>
  <si>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</si>
  <si>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</si>
  <si>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</si>
  <si>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</si>
  <si>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</si>
  <si>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</si>
  <si>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</si>
  <si>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</si>
  <si>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</si>
  <si>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</si>
  <si>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</si>
  <si>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</si>
  <si>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</si>
  <si>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</si>
  <si>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</si>
  <si>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</si>
  <si>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</si>
  <si>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</si>
  <si>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</si>
  <si>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</si>
  <si>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</si>
  <si>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</si>
  <si>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</si>
  <si>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</si>
  <si>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</si>
  <si>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</si>
  <si>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</si>
  <si>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</si>
  <si>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</si>
  <si>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</si>
  <si>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</si>
  <si>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</si>
  <si>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</si>
  <si>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</si>
  <si>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</si>
  <si>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</si>
  <si>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</si>
  <si>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</si>
  <si>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</si>
  <si>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</si>
  <si>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</si>
  <si>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</si>
  <si>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</si>
  <si>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</si>
  <si>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</si>
  <si>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</si>
  <si>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</si>
  <si>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</si>
  <si>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</si>
  <si>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</si>
  <si>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</si>
  <si>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</si>
  <si>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</si>
  <si>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</si>
  <si>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</si>
  <si>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</si>
  <si>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</si>
  <si>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</si>
  <si>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</si>
  <si>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</si>
  <si>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</si>
  <si>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</si>
  <si>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</si>
  <si>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</si>
  <si>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</si>
  <si>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</si>
  <si>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</si>
  <si>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</si>
  <si>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</si>
  <si>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</si>
  <si>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</si>
  <si>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</si>
  <si>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</si>
  <si>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</si>
  <si>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</si>
  <si>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</si>
  <si>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</si>
  <si>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</si>
  <si>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</si>
  <si>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</si>
  <si>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</si>
  <si>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</si>
  <si>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</si>
  <si>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</si>
  <si>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</si>
  <si>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</si>
  <si>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</si>
  <si>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</si>
  <si>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</si>
  <si>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</si>
  <si>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</si>
  <si>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</si>
  <si>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</si>
  <si>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</si>
  <si>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</si>
  <si>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</si>
  <si>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</si>
  <si>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</si>
  <si>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</si>
  <si>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</si>
  <si>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</si>
  <si>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</si>
  <si>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</si>
  <si>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</si>
  <si>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</si>
  <si>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</si>
  <si>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</si>
  <si>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</si>
  <si>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</si>
  <si>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</si>
  <si>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</si>
  <si>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</si>
  <si>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</si>
  <si>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</si>
  <si>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</si>
  <si>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</si>
  <si>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</si>
  <si>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</si>
  <si>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</si>
  <si>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</si>
  <si>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</si>
  <si>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</si>
  <si>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</si>
  <si>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</si>
  <si>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</si>
  <si>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</si>
  <si>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</si>
  <si>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</si>
  <si>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</si>
  <si>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</si>
  <si>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</si>
  <si>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</si>
  <si>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</si>
  <si>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</si>
  <si>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</si>
  <si>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</si>
  <si>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</si>
  <si>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</si>
  <si>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</si>
  <si>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</si>
  <si>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</si>
  <si>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</si>
  <si>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</si>
  <si>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</si>
  <si>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</si>
  <si>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</si>
  <si>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</si>
  <si>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</si>
  <si>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</si>
  <si>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</si>
  <si>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</si>
  <si>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</si>
  <si>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</si>
  <si>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</si>
  <si>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</si>
  <si>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</si>
  <si>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</si>
  <si>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</si>
  <si>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</si>
  <si>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</si>
  <si>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</si>
  <si>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</si>
  <si>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</si>
  <si>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</si>
  <si>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</si>
  <si>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</si>
  <si>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</si>
  <si>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</si>
  <si>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</si>
  <si>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</si>
  <si>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</si>
  <si>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</si>
  <si>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</si>
  <si>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</si>
  <si>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</si>
  <si>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</si>
  <si>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</si>
  <si>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</si>
  <si>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</si>
  <si>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</si>
  <si>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</si>
  <si>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</si>
  <si>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</si>
  <si>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</si>
  <si>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</si>
  <si>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</si>
  <si>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</si>
  <si>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</si>
  <si>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</si>
  <si>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</si>
  <si>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</si>
  <si>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</si>
  <si>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</si>
  <si>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</si>
  <si>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</si>
  <si>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</si>
  <si>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</si>
  <si>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</si>
  <si>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</si>
  <si>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</si>
  <si>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</si>
  <si>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</si>
  <si>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</si>
  <si>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</si>
  <si>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</si>
  <si>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</si>
  <si>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</si>
  <si>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</si>
  <si>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</si>
  <si>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</si>
  <si>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</si>
  <si>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</si>
  <si>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</si>
  <si>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</si>
  <si>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</si>
  <si>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</si>
  <si>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</si>
  <si>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</si>
  <si>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</si>
  <si>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</si>
  <si>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</si>
  <si>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</si>
  <si>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</si>
  <si>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</si>
  <si>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</si>
  <si>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</si>
  <si>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</si>
  <si>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</si>
  <si>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</si>
  <si>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</si>
  <si>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</si>
  <si>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</si>
  <si>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</si>
  <si>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</si>
  <si>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</si>
  <si>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</si>
  <si>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</si>
  <si>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</si>
  <si>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</si>
  <si>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</si>
  <si>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</si>
  <si>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</si>
  <si>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</si>
  <si>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</si>
  <si>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</si>
  <si>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</si>
  <si>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</si>
  <si>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</si>
  <si>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</si>
  <si>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</si>
  <si>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</si>
  <si>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</si>
  <si>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</si>
  <si>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</si>
  <si>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</si>
  <si>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</si>
  <si>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</si>
  <si>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</si>
  <si>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</si>
  <si>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</si>
  <si>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</si>
  <si>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</si>
  <si>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</si>
  <si>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</si>
  <si>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</si>
  <si>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</si>
  <si>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</si>
  <si>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</si>
  <si>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</si>
  <si>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</si>
  <si>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</si>
  <si>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</si>
  <si>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</si>
  <si>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</si>
  <si>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</si>
  <si>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</si>
  <si>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</si>
  <si>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</si>
  <si>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</si>
  <si>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</si>
  <si>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</si>
  <si>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</si>
  <si>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</si>
  <si>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</si>
  <si>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</si>
  <si>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</si>
  <si>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</si>
  <si>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</si>
  <si>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</si>
  <si>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</si>
  <si>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</si>
  <si>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</si>
  <si>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</si>
  <si>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</si>
  <si>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</si>
  <si>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</si>
  <si>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</si>
  <si>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</si>
  <si>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</si>
  <si>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</si>
  <si>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</si>
  <si>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</si>
  <si>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</si>
  <si>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</si>
  <si>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</si>
  <si>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</si>
  <si>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</si>
  <si>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</si>
  <si>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</si>
  <si>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</si>
  <si>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</si>
  <si>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</si>
  <si>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</si>
  <si>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</si>
  <si>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</si>
  <si>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</si>
  <si>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</si>
  <si>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</si>
  <si>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</si>
  <si>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</si>
  <si>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</si>
  <si>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</si>
  <si>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</si>
  <si>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</si>
  <si>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</si>
  <si>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</si>
  <si>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</si>
  <si>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</si>
  <si>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</si>
  <si>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</si>
  <si>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</si>
  <si>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</si>
  <si>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</si>
  <si>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</si>
  <si>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</si>
  <si>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</si>
  <si>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</si>
  <si>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</si>
  <si>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</si>
  <si>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</si>
  <si>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</si>
  <si>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</si>
  <si>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</si>
  <si>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</si>
  <si>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</si>
  <si>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</si>
  <si>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</si>
  <si>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</si>
  <si>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</si>
  <si>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</si>
  <si>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</si>
  <si>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</si>
  <si>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</si>
  <si>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</si>
  <si>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</si>
  <si>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</si>
  <si>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</si>
  <si>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</si>
  <si>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</si>
  <si>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</si>
  <si>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</si>
  <si>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</si>
  <si>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</si>
  <si>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</si>
  <si>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</si>
  <si>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</si>
  <si>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</si>
  <si>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</si>
  <si>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</si>
  <si>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</si>
  <si>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</si>
  <si>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</si>
  <si>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</si>
  <si>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</si>
  <si>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</si>
  <si>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</si>
  <si>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</si>
  <si>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</si>
  <si>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</si>
  <si>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</si>
  <si>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</si>
  <si>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</si>
  <si>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</si>
  <si>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</si>
  <si>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</si>
  <si>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</si>
  <si>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</si>
  <si>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</si>
  <si>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</si>
  <si>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</si>
  <si>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</si>
  <si>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</si>
  <si>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</si>
  <si>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</si>
  <si>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</si>
  <si>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</si>
  <si>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</si>
  <si>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</si>
  <si>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</si>
  <si>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</si>
  <si>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</si>
  <si>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</si>
  <si>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</si>
  <si>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</si>
  <si>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</si>
  <si>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</si>
  <si>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</si>
  <si>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</si>
  <si>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</si>
  <si>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</si>
  <si>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</si>
  <si>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</si>
  <si>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</si>
  <si>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</si>
  <si>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</si>
  <si>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</si>
  <si>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</si>
  <si>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</si>
  <si>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</si>
  <si>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</si>
  <si>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</si>
  <si>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</si>
  <si>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</si>
  <si>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</si>
  <si>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</si>
  <si>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</si>
  <si>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</si>
  <si>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</si>
  <si>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</si>
  <si>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</si>
  <si>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</si>
  <si>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</si>
  <si>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</si>
  <si>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</si>
  <si>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</si>
  <si>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</si>
  <si>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</si>
  <si>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</si>
  <si>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</si>
  <si>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</si>
  <si>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</si>
  <si>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</si>
  <si>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</si>
  <si>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</si>
  <si>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</si>
  <si>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</si>
  <si>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</si>
  <si>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</si>
  <si>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</si>
  <si>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</si>
  <si>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</si>
  <si>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</si>
  <si>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</si>
  <si>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</si>
  <si>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</si>
  <si>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</si>
  <si>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</si>
  <si>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</si>
  <si>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</si>
  <si>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</si>
  <si>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</si>
  <si>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</si>
  <si>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</si>
  <si>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</si>
  <si>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</si>
  <si>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</si>
  <si>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</si>
  <si>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</si>
  <si>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</si>
  <si>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</si>
  <si>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</si>
  <si>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</si>
  <si>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</si>
  <si>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</si>
  <si>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</si>
  <si>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</si>
  <si>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</si>
  <si>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</si>
  <si>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</si>
  <si>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</si>
  <si>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</si>
  <si>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</si>
  <si>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</si>
  <si>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</si>
  <si>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</si>
  <si>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</si>
  <si>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</si>
  <si>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</si>
  <si>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</si>
  <si>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</si>
  <si>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</si>
  <si>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</si>
  <si>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</si>
  <si>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</si>
  <si>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</si>
  <si>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</si>
  <si>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</si>
  <si>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</si>
  <si>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</si>
  <si>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</si>
  <si>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</si>
  <si>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</si>
  <si>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</si>
  <si>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</si>
  <si>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</si>
  <si>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</si>
  <si>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</si>
  <si>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</si>
  <si>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</si>
  <si>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</si>
  <si>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</si>
  <si>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</si>
  <si>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</si>
  <si>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</si>
  <si>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</si>
  <si>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</si>
  <si>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</si>
  <si>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</si>
  <si>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</si>
  <si>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</si>
  <si>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</si>
  <si>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</si>
  <si>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</si>
  <si>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</si>
  <si>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</si>
  <si>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</si>
  <si>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</si>
  <si>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</si>
  <si>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</si>
  <si>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</si>
  <si>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</si>
  <si>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</si>
  <si>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</si>
  <si>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</si>
  <si>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</si>
  <si>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</si>
  <si>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</si>
  <si>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</si>
  <si>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</si>
  <si>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</si>
  <si>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</si>
  <si>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</si>
  <si>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</si>
  <si>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</si>
  <si>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</si>
  <si>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</si>
  <si>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</si>
  <si>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</si>
  <si>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</si>
  <si>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</si>
  <si>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</si>
  <si>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</si>
  <si>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</si>
  <si>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</si>
  <si>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</si>
  <si>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</si>
  <si>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</si>
  <si>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</si>
  <si>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</si>
  <si>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</si>
  <si>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</si>
  <si>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</si>
  <si>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</si>
  <si>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</si>
  <si>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</si>
  <si>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</si>
  <si>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</si>
  <si>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</si>
  <si>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</si>
  <si>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</si>
  <si>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</si>
  <si>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</si>
  <si>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</si>
  <si>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</si>
  <si>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</si>
  <si>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</si>
  <si>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</si>
  <si>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</si>
  <si>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</si>
  <si>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</si>
  <si>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</si>
  <si>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</si>
  <si>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</si>
  <si>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</si>
  <si>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</si>
  <si>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</si>
  <si>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</si>
  <si>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</si>
  <si>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</si>
  <si>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</si>
  <si>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</si>
  <si>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</si>
  <si>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</si>
  <si>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</si>
  <si>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</si>
  <si>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</si>
  <si>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</si>
  <si>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</si>
  <si>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</si>
  <si>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</si>
  <si>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</si>
  <si>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</si>
  <si>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</si>
  <si>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</si>
  <si>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</si>
  <si>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</si>
  <si>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</si>
  <si>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</si>
  <si>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</si>
  <si>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</si>
  <si>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</si>
  <si>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</si>
  <si>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</si>
  <si>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</si>
  <si>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</si>
  <si>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</si>
  <si>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</si>
  <si>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</si>
  <si>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</si>
  <si>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</si>
  <si>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</si>
  <si>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</si>
  <si>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</si>
  <si>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</si>
  <si>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</si>
  <si>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</si>
  <si>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</si>
  <si>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</si>
  <si>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</si>
  <si>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</si>
  <si>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</si>
  <si>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</si>
  <si>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</si>
  <si>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</si>
  <si>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</si>
  <si>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</si>
  <si>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</si>
  <si>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</si>
  <si>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</si>
  <si>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</si>
  <si>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</si>
  <si>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</si>
  <si>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</si>
  <si>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</si>
  <si>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</si>
  <si>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</si>
  <si>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</si>
  <si>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</si>
  <si>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</si>
  <si>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</si>
  <si>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</si>
  <si>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</si>
  <si>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</si>
  <si>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</si>
  <si>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</si>
  <si>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</si>
  <si>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</si>
  <si>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</si>
  <si>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</si>
  <si>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</si>
  <si>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</si>
  <si>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</si>
  <si>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</si>
  <si>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</si>
  <si>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</si>
  <si>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</si>
  <si>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</si>
  <si>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</si>
  <si>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</si>
  <si>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</si>
  <si>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</si>
  <si>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</si>
  <si>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</si>
  <si>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</si>
  <si>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</si>
  <si>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</si>
  <si>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</si>
  <si>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</si>
  <si>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</si>
  <si>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</si>
  <si>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</si>
  <si>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</si>
  <si>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</si>
  <si>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</si>
  <si>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</si>
  <si>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</si>
  <si>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</si>
  <si>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</si>
  <si>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</si>
  <si>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</si>
  <si>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</si>
  <si>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</si>
  <si>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</si>
  <si>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</si>
  <si>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</si>
  <si>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</si>
  <si>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</si>
  <si>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</si>
  <si>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</si>
  <si>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</si>
  <si>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</si>
  <si>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</si>
  <si>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</si>
  <si>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</si>
  <si>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</si>
  <si>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</si>
  <si>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</si>
  <si>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</si>
  <si>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</si>
  <si>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</si>
  <si>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</si>
  <si>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</si>
  <si>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</si>
  <si>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</si>
  <si>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</si>
  <si>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</si>
  <si>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</si>
  <si>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</si>
  <si>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</si>
  <si>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</si>
  <si>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</si>
  <si>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</si>
  <si>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</si>
  <si>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</si>
  <si>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</si>
  <si>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</si>
  <si>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</si>
  <si>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</si>
  <si>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</si>
  <si>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</si>
  <si>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</si>
  <si>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</si>
  <si>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</si>
  <si>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</si>
  <si>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</si>
  <si>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</si>
  <si>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</si>
  <si>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</si>
  <si>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</si>
  <si>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</si>
  <si>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</si>
  <si>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</si>
  <si>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</si>
  <si>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</si>
  <si>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</si>
  <si>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</si>
  <si>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</si>
  <si>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</si>
  <si>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</si>
  <si>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</si>
  <si>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</si>
  <si>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</si>
  <si>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</si>
  <si>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</si>
  <si>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</si>
  <si>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</si>
  <si>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</si>
  <si>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</si>
  <si>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</si>
  <si>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</si>
  <si>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</si>
  <si>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</si>
  <si>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</si>
  <si>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</si>
  <si>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</si>
  <si>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</si>
  <si>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</si>
  <si>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</si>
  <si>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</si>
  <si>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</si>
  <si>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</si>
  <si>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</si>
  <si>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</si>
  <si>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</si>
  <si>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</si>
  <si>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</si>
  <si>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</si>
  <si>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</si>
  <si>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</si>
  <si>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</si>
  <si>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</si>
  <si>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</si>
  <si>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</si>
  <si>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</si>
  <si>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</si>
  <si>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</si>
  <si>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</si>
  <si>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</si>
  <si>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</si>
  <si>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</si>
  <si>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</si>
  <si>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</si>
  <si>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</si>
  <si>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</si>
  <si>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</si>
  <si>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</si>
  <si>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</si>
  <si>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</si>
  <si>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</si>
  <si>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</si>
  <si>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</si>
  <si>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</si>
  <si>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</si>
  <si>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</si>
  <si>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</si>
  <si>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</si>
  <si>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</si>
  <si>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</si>
  <si>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</si>
  <si>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</si>
  <si>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</si>
  <si>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</si>
  <si>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</si>
  <si>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</si>
  <si>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</si>
  <si>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</si>
  <si>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</si>
  <si>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</si>
  <si>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</si>
  <si>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</si>
  <si>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</si>
  <si>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</si>
  <si>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</si>
  <si>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</si>
  <si>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</si>
  <si>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</si>
  <si>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</si>
  <si>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</si>
  <si>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</si>
  <si>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</si>
  <si>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</si>
  <si>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</si>
  <si>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</si>
  <si>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</si>
  <si>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</si>
  <si>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</si>
  <si>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</si>
  <si>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</si>
  <si>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</si>
  <si>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</si>
  <si>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</si>
  <si>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</si>
  <si>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</si>
  <si>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</si>
  <si>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</si>
  <si>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</si>
  <si>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</si>
  <si>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</si>
  <si>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</si>
  <si>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</si>
  <si>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</si>
  <si>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</si>
  <si>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</si>
  <si>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</si>
  <si>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</si>
  <si>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</si>
  <si>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</si>
  <si>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</si>
  <si>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</si>
  <si>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</si>
  <si>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</si>
  <si>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</si>
  <si>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</si>
  <si>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</si>
  <si>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</si>
  <si>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</si>
  <si>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</si>
  <si>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</si>
  <si>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</si>
  <si>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</si>
  <si>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</si>
  <si>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</si>
  <si>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</si>
  <si>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</si>
  <si>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</si>
  <si>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</si>
  <si>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</si>
  <si>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</si>
  <si>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</si>
  <si>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</si>
  <si>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</si>
  <si>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</si>
  <si>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</si>
  <si>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</si>
  <si>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</si>
  <si>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</si>
  <si>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</si>
  <si>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</si>
  <si>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</si>
  <si>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</si>
  <si>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</si>
  <si>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</si>
  <si>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</si>
  <si>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</si>
  <si>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</si>
  <si>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</si>
  <si>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</si>
  <si>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</si>
  <si>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</si>
  <si>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</si>
  <si>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</si>
  <si>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</si>
  <si>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</si>
  <si>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</si>
  <si>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</si>
  <si>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</si>
  <si>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</si>
  <si>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</si>
  <si>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</si>
  <si>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</si>
  <si>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</si>
  <si>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</si>
  <si>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</si>
  <si>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</si>
  <si>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</si>
  <si>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</si>
  <si>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</si>
  <si>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</si>
  <si>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</si>
  <si>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</si>
  <si>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</si>
  <si>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</si>
  <si>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</si>
  <si>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</si>
  <si>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</si>
  <si>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</si>
  <si>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</si>
  <si>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</si>
  <si>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</si>
  <si>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</si>
  <si>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</si>
  <si>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</si>
  <si>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</si>
  <si>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</si>
  <si>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</si>
  <si>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</si>
  <si>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</si>
  <si>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</si>
  <si>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</si>
  <si>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</si>
  <si>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</si>
  <si>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</si>
  <si>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</si>
  <si>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</si>
  <si>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</si>
  <si>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</si>
  <si>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</si>
  <si>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</si>
  <si>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</si>
  <si>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</si>
  <si>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</si>
  <si>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</si>
  <si>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</si>
  <si>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</si>
  <si>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</si>
  <si>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</si>
  <si>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</si>
  <si>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</si>
  <si>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</si>
  <si>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</si>
  <si>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</si>
  <si>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</si>
  <si>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</si>
  <si>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</si>
  <si>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</si>
  <si>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</si>
  <si>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</si>
  <si>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</si>
  <si>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</si>
  <si>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</si>
  <si>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</si>
  <si>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</si>
  <si>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</si>
  <si>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</si>
  <si>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</si>
  <si>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</si>
  <si>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</si>
  <si>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</si>
  <si>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</si>
  <si>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</si>
  <si>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</si>
  <si>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</si>
  <si>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</si>
  <si>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</si>
  <si>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</si>
  <si>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</si>
  <si>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</si>
  <si>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</si>
  <si>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</si>
  <si>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</si>
  <si>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</si>
  <si>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</si>
  <si>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</si>
  <si>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</si>
  <si>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</si>
  <si>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</si>
  <si>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</si>
  <si>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</si>
  <si>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</si>
  <si>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</si>
  <si>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</si>
  <si>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</si>
  <si>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</si>
  <si>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</si>
  <si>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</si>
  <si>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</si>
  <si>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</si>
  <si>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</si>
  <si>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</si>
  <si>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</si>
  <si>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</si>
  <si>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</si>
  <si>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</si>
  <si>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</si>
  <si>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</si>
  <si>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</si>
  <si>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</si>
  <si>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</si>
  <si>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</si>
  <si>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</si>
  <si>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</si>
  <si>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</si>
  <si>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</si>
  <si>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</si>
  <si>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</si>
  <si>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</si>
  <si>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</si>
  <si>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</si>
  <si>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</si>
  <si>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</si>
  <si>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</si>
  <si>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</si>
  <si>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</si>
  <si>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</si>
  <si>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</si>
  <si>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</si>
  <si>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</si>
  <si>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</si>
  <si>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</si>
  <si>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</si>
  <si>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</si>
  <si>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</si>
  <si>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</si>
  <si>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</si>
  <si>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</si>
  <si>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</si>
  <si>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</si>
  <si>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</si>
  <si>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</si>
  <si>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</si>
  <si>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</si>
  <si>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</si>
  <si>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</si>
  <si>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</si>
  <si>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</si>
  <si>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</si>
  <si>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</si>
  <si>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</si>
  <si>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</si>
  <si>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</si>
  <si>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</si>
  <si>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</si>
  <si>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</si>
  <si>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</si>
  <si>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</si>
  <si>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</si>
  <si>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</si>
  <si>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</si>
  <si>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</si>
  <si>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</si>
  <si>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</si>
  <si>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</si>
  <si>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</si>
  <si>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</si>
  <si>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</si>
  <si>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</si>
  <si>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</si>
  <si>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</si>
  <si>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</si>
  <si>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</si>
  <si>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</si>
  <si>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</si>
  <si>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</si>
  <si>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</si>
  <si>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</si>
  <si>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</si>
  <si>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</si>
  <si>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</si>
  <si>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</si>
  <si>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</si>
  <si>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</si>
  <si>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</si>
  <si>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</si>
  <si>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</si>
  <si>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</si>
  <si>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</si>
  <si>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</si>
  <si>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</si>
  <si>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</si>
  <si>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</si>
  <si>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</si>
  <si>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</si>
  <si>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</si>
  <si>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</si>
  <si>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</si>
  <si>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</si>
  <si>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</si>
  <si>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</si>
  <si>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</si>
  <si>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</si>
  <si>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</si>
  <si>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</si>
  <si>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</si>
  <si>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</si>
  <si>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</si>
  <si>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</si>
  <si>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</si>
  <si>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</si>
  <si>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</si>
  <si>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</si>
  <si>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</si>
  <si>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</si>
  <si>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</si>
  <si>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</si>
  <si>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</si>
  <si>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</si>
  <si>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</si>
  <si>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</si>
  <si>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</si>
  <si>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</si>
  <si>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</si>
  <si>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</si>
  <si>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</si>
  <si>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</si>
  <si>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</si>
  <si>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</si>
  <si>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</si>
  <si>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</si>
  <si>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</si>
  <si>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</si>
  <si>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</si>
  <si>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</si>
  <si>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</si>
  <si>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</si>
  <si>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</si>
  <si>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</si>
  <si>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</si>
  <si>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</si>
  <si>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</si>
  <si>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</si>
  <si>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</si>
  <si>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</si>
  <si>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</si>
  <si>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</si>
  <si>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</si>
  <si>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</si>
  <si>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</si>
  <si>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</si>
  <si>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</si>
  <si>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</si>
  <si>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</si>
  <si>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</si>
  <si>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</si>
  <si>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</si>
  <si>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</si>
  <si>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</si>
  <si>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</si>
  <si>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</si>
  <si>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</si>
  <si>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</si>
  <si>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</si>
  <si>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</si>
  <si>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</si>
  <si>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</si>
  <si>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</si>
  <si>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</si>
  <si>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</si>
  <si>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</si>
  <si>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</si>
  <si>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</si>
  <si>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</si>
  <si>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</si>
  <si>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</si>
  <si>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</si>
  <si>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</si>
  <si>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</si>
  <si>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</si>
  <si>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</si>
  <si>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</si>
  <si>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</si>
  <si>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</si>
  <si>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</si>
  <si>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</si>
  <si>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</si>
  <si>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</si>
  <si>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</si>
  <si>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</si>
  <si>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</si>
  <si>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</si>
  <si>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</si>
  <si>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</si>
  <si>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</si>
  <si>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</si>
  <si>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</si>
  <si>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</si>
  <si>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</si>
  <si>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</si>
  <si>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</si>
  <si>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</si>
  <si>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</si>
  <si>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</si>
  <si>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</si>
  <si>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</si>
  <si>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</si>
  <si>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</si>
  <si>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</si>
  <si>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</si>
  <si>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</si>
  <si>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</si>
  <si>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</si>
  <si>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</si>
  <si>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</si>
  <si>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</si>
  <si>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</si>
  <si>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</si>
  <si>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</si>
  <si>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</si>
  <si>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</si>
  <si>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</si>
  <si>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</si>
  <si>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</si>
  <si>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</si>
  <si>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</si>
  <si>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</si>
  <si>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</si>
  <si>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</si>
  <si>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</si>
  <si>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</si>
  <si>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</si>
  <si>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</si>
  <si>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</si>
  <si>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</si>
  <si>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</si>
  <si>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</si>
  <si>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</si>
  <si>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</si>
  <si>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</si>
  <si>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</si>
  <si>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</si>
  <si>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</si>
  <si>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</si>
  <si>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</si>
  <si>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</si>
  <si>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</si>
  <si>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</si>
  <si>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</si>
  <si>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</si>
  <si>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</si>
  <si>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</si>
  <si>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</si>
  <si>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</si>
  <si>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</si>
  <si>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</si>
  <si>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</si>
  <si>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</si>
  <si>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</si>
  <si>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</si>
  <si>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</si>
  <si>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</si>
  <si>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</si>
  <si>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</si>
  <si>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</si>
  <si>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</si>
  <si>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</si>
  <si>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</si>
  <si>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</si>
  <si>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</si>
  <si>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</si>
  <si>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</si>
  <si>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</si>
  <si>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</si>
  <si>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</si>
  <si>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</si>
  <si>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</si>
  <si>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</si>
  <si>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</si>
  <si>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</si>
  <si>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</si>
  <si>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</si>
  <si>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</si>
  <si>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</si>
  <si>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</si>
  <si>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</si>
  <si>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</si>
  <si>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</si>
  <si>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</si>
  <si>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</si>
  <si>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</si>
  <si>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</si>
  <si>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</si>
  <si>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</si>
  <si>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</si>
  <si>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</si>
  <si>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</si>
  <si>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</si>
  <si>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</si>
  <si>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</si>
  <si>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</si>
  <si>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</si>
  <si>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</si>
  <si>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</si>
  <si>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</si>
  <si>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</si>
  <si>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</si>
  <si>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</si>
  <si>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</si>
  <si>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</si>
  <si>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</si>
  <si>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</si>
  <si>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</si>
  <si>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</si>
  <si>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</si>
  <si>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</si>
  <si>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</si>
  <si>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</si>
  <si>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</si>
  <si>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</si>
  <si>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</si>
  <si>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</si>
  <si>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</si>
  <si>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</si>
  <si>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</si>
  <si>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</si>
  <si>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</si>
  <si>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</si>
  <si>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</si>
  <si>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</si>
  <si>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</si>
  <si>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</si>
  <si>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</si>
  <si>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</si>
  <si>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</si>
  <si>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</si>
  <si>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</si>
  <si>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</si>
  <si>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</si>
  <si>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</si>
  <si>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</si>
  <si>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</si>
  <si>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</si>
  <si>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</si>
  <si>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</si>
  <si>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</si>
  <si>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</si>
  <si>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</si>
  <si>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</si>
  <si>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</si>
  <si>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</si>
  <si>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</si>
  <si>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</si>
  <si>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</si>
  <si>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</si>
  <si>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</si>
  <si>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</si>
  <si>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</si>
  <si>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</si>
  <si>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</si>
  <si>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</si>
  <si>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</si>
  <si>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</si>
  <si>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</si>
  <si>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</si>
  <si>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</si>
  <si>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</si>
  <si>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</si>
  <si>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</si>
  <si>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</si>
  <si>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</si>
  <si>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</si>
  <si>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</si>
  <si>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</si>
  <si>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</si>
  <si>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</si>
  <si>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</si>
  <si>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</si>
  <si>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</si>
  <si>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</si>
  <si>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</si>
  <si>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</si>
  <si>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</si>
  <si>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</si>
  <si>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</si>
  <si>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</si>
  <si>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</si>
  <si>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</si>
  <si>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</si>
  <si>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</si>
  <si>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</si>
  <si>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</si>
  <si>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</si>
  <si>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</si>
  <si>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</si>
  <si>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</si>
  <si>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</si>
  <si>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</si>
  <si>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</si>
  <si>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</si>
  <si>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</si>
  <si>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</si>
  <si>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</si>
  <si>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</si>
  <si>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</si>
  <si>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</si>
  <si>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</si>
  <si>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</si>
  <si>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</si>
  <si>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</si>
  <si>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</si>
  <si>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</si>
  <si>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</si>
  <si>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</si>
  <si>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</si>
  <si>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</si>
  <si>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</si>
  <si>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</si>
  <si>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</si>
  <si>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</si>
  <si>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</si>
  <si>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</si>
  <si>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</si>
  <si>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</si>
  <si>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</si>
  <si>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</si>
  <si>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</si>
  <si>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</si>
  <si>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</si>
  <si>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</si>
  <si>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</si>
  <si>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</si>
  <si>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</si>
  <si>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</si>
  <si>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</si>
  <si>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</si>
  <si>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</si>
  <si>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</si>
  <si>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</si>
  <si>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</si>
  <si>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</si>
  <si>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</si>
  <si>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</si>
  <si>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</si>
  <si>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</si>
  <si>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</si>
  <si>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</si>
  <si>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</si>
  <si>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</si>
  <si>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</si>
  <si>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</si>
  <si>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</si>
  <si>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</si>
  <si>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</si>
  <si>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</si>
  <si>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</si>
  <si>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</si>
  <si>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</si>
  <si>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</si>
  <si>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</si>
  <si>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</si>
  <si>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</si>
  <si>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</si>
  <si>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</si>
  <si>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</si>
  <si>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</si>
  <si>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</si>
  <si>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</si>
  <si>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</si>
  <si>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</si>
  <si>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</si>
  <si>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</si>
  <si>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</si>
  <si>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</si>
  <si>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</si>
  <si>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</si>
  <si>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</si>
  <si>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</si>
  <si>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</si>
  <si>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</si>
  <si>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</si>
  <si>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</si>
  <si>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</si>
  <si>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</si>
  <si>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</si>
  <si>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</si>
  <si>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</si>
  <si>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</si>
  <si>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</si>
  <si>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</si>
  <si>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</si>
  <si>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</si>
  <si>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</si>
  <si>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</si>
  <si>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</si>
  <si>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</si>
  <si>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</si>
  <si>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</si>
  <si>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</si>
  <si>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</si>
  <si>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</si>
  <si>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</si>
  <si>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</si>
  <si>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</si>
  <si>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</si>
  <si>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</si>
  <si>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</si>
  <si>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</si>
  <si>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</si>
  <si>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</si>
  <si>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</si>
  <si>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</si>
  <si>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</si>
  <si>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</si>
  <si>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</si>
  <si>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</si>
  <si>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</si>
  <si>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</si>
  <si>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</si>
  <si>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</si>
  <si>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</si>
  <si>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</si>
  <si>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</si>
  <si>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</si>
  <si>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</si>
  <si>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</si>
  <si>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</si>
  <si>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</si>
  <si>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</si>
  <si>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</si>
  <si>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</si>
  <si>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</si>
  <si>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</si>
  <si>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</si>
  <si>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</si>
  <si>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</si>
  <si>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</si>
  <si>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</si>
  <si>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</si>
  <si>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</si>
  <si>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</si>
  <si>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</si>
  <si>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</si>
  <si>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</si>
  <si>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</si>
  <si>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</si>
  <si>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</si>
  <si>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</si>
  <si>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</si>
  <si>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</si>
  <si>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</si>
  <si>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</si>
  <si>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</si>
  <si>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</si>
  <si>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</si>
  <si>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</si>
  <si>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</si>
  <si>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</si>
  <si>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</si>
  <si>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</si>
  <si>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</si>
  <si>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</si>
  <si>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</si>
  <si>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</si>
  <si>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</si>
  <si>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</si>
  <si>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</si>
  <si>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</si>
  <si>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</si>
  <si>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</si>
  <si>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</si>
  <si>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</si>
  <si>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</si>
  <si>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</si>
  <si>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</si>
  <si>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</si>
  <si>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</si>
  <si>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</si>
  <si>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</si>
  <si>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</si>
  <si>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</si>
  <si>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</si>
  <si>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</si>
  <si>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</si>
  <si>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</si>
  <si>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</si>
  <si>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</si>
  <si>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</si>
  <si>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</si>
  <si>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</si>
  <si>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</si>
  <si>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</si>
  <si>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</si>
  <si>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</si>
  <si>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</si>
  <si>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</si>
  <si>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</si>
  <si>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</si>
  <si>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</si>
  <si>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</si>
  <si>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</si>
  <si>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</si>
  <si>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</si>
  <si>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</si>
  <si>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</si>
  <si>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</si>
  <si>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</si>
  <si>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</si>
  <si>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</si>
  <si>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</si>
  <si>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</si>
  <si>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</si>
  <si>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</si>
  <si>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</si>
  <si>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</si>
  <si>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</si>
  <si>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</si>
  <si>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</si>
  <si>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</si>
  <si>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</si>
  <si>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</si>
  <si>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</si>
  <si>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</si>
  <si>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</si>
  <si>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</si>
  <si>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</si>
  <si>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</si>
  <si>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</si>
  <si>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</si>
  <si>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</si>
  <si>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</si>
  <si>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</si>
  <si>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</si>
  <si>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</si>
  <si>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</si>
  <si>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</si>
  <si>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</si>
  <si>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</si>
  <si>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</si>
  <si>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</si>
  <si>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</si>
  <si>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</si>
  <si>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</si>
  <si>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</si>
  <si>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</si>
  <si>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</si>
  <si>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</si>
  <si>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</si>
  <si>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</si>
  <si>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</si>
  <si>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</si>
  <si>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</si>
  <si>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</si>
  <si>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</si>
  <si>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</si>
  <si>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</si>
  <si>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</si>
  <si>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</si>
  <si>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</si>
  <si>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</si>
  <si>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</si>
  <si>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</si>
  <si>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</si>
  <si>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</si>
  <si>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</si>
  <si>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</si>
  <si>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</si>
  <si>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</si>
  <si>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</si>
  <si>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</si>
  <si>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</si>
  <si>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</si>
  <si>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</si>
  <si>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</si>
  <si>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</si>
  <si>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</si>
  <si>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</si>
  <si>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</si>
  <si>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</si>
  <si>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</si>
  <si>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</si>
  <si>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</si>
  <si>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</si>
  <si>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</si>
  <si>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</si>
  <si>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</si>
  <si>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</si>
  <si>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</si>
  <si>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</si>
  <si>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</si>
  <si>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</si>
  <si>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</si>
  <si>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</si>
  <si>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</si>
  <si>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</si>
  <si>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</si>
  <si>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</si>
  <si>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</si>
  <si>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</si>
  <si>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</si>
  <si>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</si>
  <si>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</si>
  <si>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</si>
  <si>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</si>
  <si>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</si>
  <si>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</si>
  <si>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</si>
  <si>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</si>
  <si>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</si>
  <si>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</si>
  <si>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</si>
  <si>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</si>
  <si>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</si>
  <si>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</si>
  <si>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</si>
  <si>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</si>
  <si>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</si>
  <si>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</si>
  <si>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</si>
  <si>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</si>
  <si>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</si>
  <si>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</si>
  <si>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</si>
  <si>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</si>
  <si>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</si>
  <si>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</si>
  <si>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</si>
  <si>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</si>
  <si>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</si>
  <si>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</si>
  <si>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</si>
  <si>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</si>
  <si>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</si>
  <si>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</si>
  <si>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</si>
  <si>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</si>
  <si>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</si>
  <si>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</si>
  <si>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</si>
  <si>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</si>
  <si>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</si>
  <si>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</si>
  <si>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</si>
  <si>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</si>
  <si>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</si>
  <si>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</si>
  <si>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</si>
  <si>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</si>
  <si>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</si>
  <si>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</si>
  <si>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</si>
  <si>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</si>
  <si>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</si>
  <si>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</si>
  <si>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</si>
  <si>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</si>
  <si>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</si>
  <si>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</si>
  <si>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</si>
  <si>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</si>
  <si>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</si>
  <si>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</si>
  <si>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</si>
  <si>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</si>
  <si>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</si>
  <si>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</si>
  <si>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</si>
  <si>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</si>
  <si>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</si>
  <si>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</si>
  <si>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</si>
  <si>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</si>
  <si>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</si>
  <si>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</si>
  <si>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</si>
  <si>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</si>
  <si>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</si>
  <si>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</si>
  <si>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</si>
  <si>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</si>
  <si>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</si>
  <si>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</si>
  <si>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</si>
  <si>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</si>
  <si>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</si>
  <si>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</si>
  <si>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</si>
  <si>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</si>
  <si>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</si>
  <si>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</si>
  <si>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</si>
  <si>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</si>
  <si>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</si>
  <si>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</si>
  <si>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</si>
  <si>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</si>
  <si>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</si>
  <si>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</si>
  <si>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</si>
  <si>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</si>
  <si>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</si>
  <si>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</si>
  <si>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</si>
  <si>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</si>
  <si>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</si>
  <si>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</si>
  <si>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</si>
  <si>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</si>
  <si>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</si>
  <si>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</si>
  <si>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</si>
  <si>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</si>
  <si>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</si>
  <si>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</si>
  <si>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</si>
  <si>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</si>
  <si>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</si>
  <si>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</si>
  <si>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</si>
  <si>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</si>
  <si>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</si>
  <si>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</si>
  <si>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</si>
  <si>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</si>
  <si>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</si>
  <si>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</si>
  <si>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</si>
  <si>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</si>
  <si>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</si>
  <si>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</si>
  <si>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</si>
  <si>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</si>
  <si>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</si>
  <si>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</si>
  <si>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</si>
  <si>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</si>
  <si>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</si>
  <si>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</si>
  <si>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</si>
  <si>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</si>
  <si>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</si>
  <si>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</si>
  <si>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</si>
  <si>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</si>
  <si>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</si>
  <si>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</si>
  <si>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</si>
  <si>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</si>
  <si>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</si>
  <si>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</si>
  <si>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</si>
  <si>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</si>
  <si>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</si>
  <si>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</si>
  <si>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</si>
  <si>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</si>
  <si>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</si>
  <si>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</si>
  <si>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</si>
  <si>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</si>
  <si>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</si>
  <si>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</si>
  <si>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</si>
  <si>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</si>
  <si>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</si>
  <si>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</si>
  <si>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</si>
  <si>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</si>
  <si>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</si>
  <si>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</si>
  <si>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</si>
  <si>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</si>
  <si>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</si>
  <si>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</si>
  <si>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</si>
  <si>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</si>
  <si>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</si>
  <si>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</si>
  <si>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</si>
  <si>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</si>
  <si>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</si>
  <si>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</si>
  <si>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</si>
  <si>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</si>
  <si>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</si>
  <si>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</si>
  <si>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</si>
  <si>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</si>
  <si>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</si>
  <si>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</si>
  <si>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</si>
  <si>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</si>
  <si>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</si>
  <si>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</si>
  <si>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</si>
  <si>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</si>
  <si>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</si>
  <si>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</si>
  <si>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</si>
  <si>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</si>
  <si>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</si>
  <si>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</si>
  <si>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</si>
  <si>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</si>
  <si>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</si>
  <si>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</si>
  <si>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</si>
  <si>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</si>
  <si>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</si>
  <si>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</si>
  <si>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</si>
  <si>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</si>
  <si>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</si>
  <si>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</si>
  <si>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</si>
  <si>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</si>
  <si>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</si>
  <si>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</si>
  <si>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</si>
  <si>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</si>
  <si>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</si>
  <si>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</si>
  <si>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</si>
  <si>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</si>
  <si>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</si>
  <si>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</si>
  <si>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</si>
  <si>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</si>
  <si>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</si>
  <si>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</si>
  <si>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</si>
  <si>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</si>
  <si>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</si>
  <si>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</si>
  <si>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</si>
  <si>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</si>
  <si>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</si>
  <si>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</si>
  <si>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</si>
  <si>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</si>
  <si>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</si>
  <si>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</si>
  <si>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</si>
  <si>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</si>
  <si>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</si>
  <si>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</si>
  <si>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</si>
  <si>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</si>
  <si>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</si>
  <si>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</si>
  <si>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</si>
  <si>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</si>
  <si>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</si>
  <si>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</si>
  <si>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</si>
  <si>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</si>
  <si>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</si>
  <si>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</si>
  <si>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</si>
  <si>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</si>
  <si>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</si>
  <si>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</si>
  <si>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</si>
  <si>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</si>
  <si>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</si>
  <si>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</si>
  <si>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</si>
  <si>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</si>
  <si>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</si>
  <si>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</si>
  <si>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</si>
  <si>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</si>
  <si>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</si>
  <si>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</si>
  <si>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</si>
  <si>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</si>
  <si>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</si>
  <si>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</si>
  <si>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</si>
  <si>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</si>
  <si>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</si>
  <si>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</si>
  <si>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</si>
  <si>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</si>
  <si>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</si>
  <si>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</si>
  <si>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</si>
  <si>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</si>
  <si>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</si>
  <si>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</si>
  <si>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</si>
  <si>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</si>
  <si>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</si>
  <si>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</si>
  <si>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</si>
  <si>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</si>
  <si>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</si>
  <si>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</si>
  <si>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</si>
  <si>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</si>
  <si>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</si>
  <si>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</si>
  <si>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</si>
  <si>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</si>
  <si>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</si>
  <si>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</si>
  <si>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</si>
  <si>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</si>
  <si>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</si>
  <si>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</si>
  <si>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</si>
  <si>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</si>
  <si>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</si>
  <si>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</si>
  <si>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</si>
  <si>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</si>
  <si>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</si>
  <si>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</si>
  <si>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</si>
  <si>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</si>
  <si>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</si>
  <si>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</si>
  <si>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</si>
  <si>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</si>
  <si>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</si>
  <si>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</si>
  <si>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</si>
  <si>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</si>
  <si>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</si>
  <si>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</si>
  <si>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</si>
  <si>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</si>
  <si>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</si>
  <si>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</si>
  <si>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</si>
  <si>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</si>
  <si>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</si>
  <si>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</si>
  <si>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</si>
  <si>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</si>
  <si>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</si>
  <si>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</si>
  <si>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</si>
  <si>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</si>
  <si>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</si>
  <si>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</si>
  <si>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</si>
  <si>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</si>
  <si>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</si>
  <si>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</si>
  <si>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</si>
  <si>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</si>
  <si>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</si>
  <si>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</si>
  <si>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</si>
  <si>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</si>
  <si>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</si>
  <si>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</si>
  <si>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</si>
  <si>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</si>
  <si>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</si>
  <si>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</si>
  <si>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</si>
  <si>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</si>
  <si>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</si>
  <si>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</si>
  <si>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</si>
  <si>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</si>
  <si>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</si>
  <si>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</si>
  <si>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</si>
  <si>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</si>
  <si>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</si>
  <si>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</si>
  <si>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</si>
  <si>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</si>
  <si>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</si>
  <si>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</si>
  <si>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</si>
  <si>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</si>
  <si>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</si>
  <si>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</si>
  <si>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</si>
  <si>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</si>
  <si>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</si>
  <si>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</si>
  <si>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</si>
  <si>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</si>
  <si>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</si>
  <si>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</si>
  <si>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</si>
  <si>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</si>
  <si>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</si>
  <si>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</si>
  <si>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</si>
  <si>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</si>
  <si>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</si>
  <si>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</si>
  <si>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</si>
  <si>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</si>
  <si>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</si>
  <si>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</si>
  <si>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</si>
  <si>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</si>
  <si>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</si>
  <si>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</si>
  <si>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</si>
  <si>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</si>
  <si>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</si>
  <si>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</si>
  <si>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</si>
  <si>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</si>
  <si>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</si>
  <si>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</si>
  <si>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</si>
  <si>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</si>
  <si>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</si>
  <si>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</si>
  <si>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</si>
  <si>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</si>
  <si>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</si>
  <si>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</si>
  <si>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</si>
  <si>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</si>
  <si>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</si>
  <si>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</si>
  <si>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</si>
  <si>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</si>
  <si>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</si>
  <si>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</si>
  <si>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</si>
  <si>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</si>
  <si>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</si>
  <si>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</si>
  <si>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</si>
  <si>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</si>
  <si>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</si>
  <si>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</si>
  <si>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</si>
  <si>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</si>
  <si>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</si>
  <si>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</si>
  <si>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</si>
  <si>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</si>
  <si>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</si>
  <si>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</si>
  <si>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</si>
  <si>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</si>
  <si>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</si>
  <si>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</si>
  <si>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</si>
  <si>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</si>
  <si>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</si>
  <si>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</si>
  <si>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</si>
  <si>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</si>
  <si>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</si>
  <si>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</si>
  <si>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</si>
  <si>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</si>
  <si>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</si>
  <si>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</si>
  <si>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</si>
  <si>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</si>
  <si>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</si>
  <si>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</si>
  <si>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</si>
  <si>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</si>
  <si>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</si>
  <si>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</si>
  <si>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</si>
  <si>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</si>
  <si>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</si>
  <si>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</si>
  <si>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</si>
  <si>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</si>
  <si>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</si>
  <si>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</si>
  <si>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</si>
  <si>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</si>
  <si>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</si>
  <si>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</si>
  <si>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</si>
  <si>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</si>
  <si>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</si>
  <si>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</si>
  <si>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</si>
  <si>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</si>
  <si>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</si>
  <si>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</si>
  <si>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</si>
  <si>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</si>
  <si>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</si>
  <si>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</si>
  <si>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</si>
  <si>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</si>
  <si>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</si>
  <si>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</si>
  <si>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</si>
  <si>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</si>
  <si>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</si>
  <si>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</si>
  <si>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</si>
  <si>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</si>
  <si>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</si>
  <si>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</si>
  <si>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</si>
  <si>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</si>
  <si>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</si>
  <si>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</si>
  <si>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</si>
  <si>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</si>
  <si>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</si>
  <si>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</si>
  <si>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</si>
  <si>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</si>
  <si>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</si>
  <si>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</si>
  <si>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</si>
  <si>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</si>
  <si>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</si>
  <si>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</si>
  <si>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</si>
  <si>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</si>
  <si>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</si>
  <si>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</si>
  <si>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</si>
  <si>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</si>
  <si>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</si>
  <si>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</si>
  <si>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</si>
  <si>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</si>
  <si>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</si>
  <si>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</si>
  <si>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</si>
  <si>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</si>
  <si>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</si>
  <si>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</si>
  <si>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</si>
  <si>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</si>
  <si>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</si>
  <si>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</si>
  <si>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</si>
  <si>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</si>
  <si>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</si>
  <si>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</si>
  <si>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</si>
  <si>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</si>
  <si>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</si>
  <si>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</si>
  <si>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</si>
  <si>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</si>
  <si>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</si>
  <si>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</si>
  <si>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</si>
  <si>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</si>
  <si>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</si>
  <si>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</si>
  <si>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</si>
  <si>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</si>
  <si>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</si>
  <si>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</si>
  <si>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</si>
  <si>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</si>
  <si>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</si>
  <si>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</si>
  <si>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</si>
  <si>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</si>
  <si>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</si>
  <si>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</si>
  <si>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</si>
  <si>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</si>
  <si>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</si>
  <si>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</si>
  <si>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</si>
  <si>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</si>
  <si>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</si>
  <si>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</si>
  <si>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</si>
  <si>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</si>
  <si>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</si>
  <si>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</si>
  <si>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</si>
  <si>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</si>
  <si>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</si>
  <si>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</si>
  <si>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</si>
  <si>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</si>
  <si>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</si>
  <si>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</si>
  <si>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</si>
  <si>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</si>
  <si>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</si>
  <si>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</si>
  <si>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</si>
  <si>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</si>
  <si>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</si>
  <si>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</si>
  <si>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</si>
  <si>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</si>
  <si>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</si>
  <si>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</si>
  <si>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</si>
  <si>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</si>
  <si>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</si>
  <si>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</si>
  <si>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</si>
  <si>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</si>
  <si>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</si>
  <si>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</si>
  <si>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</si>
  <si>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</si>
  <si>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</si>
  <si>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</si>
  <si>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</si>
  <si>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</si>
  <si>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</si>
  <si>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</si>
  <si>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</si>
  <si>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</si>
  <si>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</si>
  <si>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</si>
  <si>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</si>
  <si>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</si>
  <si>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</si>
  <si>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</si>
  <si>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</si>
  <si>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</si>
  <si>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</si>
  <si>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</si>
  <si>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</si>
  <si>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</si>
  <si>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</si>
  <si>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</si>
  <si>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</si>
  <si>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</si>
  <si>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</si>
  <si>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</si>
  <si>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</si>
  <si>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</si>
  <si>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</si>
  <si>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</si>
  <si>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</si>
  <si>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</si>
  <si>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</si>
  <si>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</si>
  <si>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</si>
  <si>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</si>
  <si>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</si>
  <si>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</si>
  <si>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</si>
  <si>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</si>
  <si>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</si>
  <si>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</si>
  <si>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</si>
  <si>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</si>
  <si>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</si>
  <si>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</si>
  <si>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</si>
  <si>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</si>
  <si>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</si>
  <si>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</si>
  <si>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</si>
  <si>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</si>
  <si>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</si>
  <si>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</si>
  <si>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</si>
  <si>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</si>
  <si>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</si>
  <si>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</si>
  <si>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</si>
  <si>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</si>
  <si>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</si>
  <si>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</si>
  <si>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</si>
  <si>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</si>
  <si>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</si>
  <si>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</si>
  <si>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</si>
  <si>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</si>
  <si>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</si>
  <si>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</si>
  <si>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</si>
  <si>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</si>
  <si>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</si>
  <si>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</si>
  <si>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</si>
  <si>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</si>
  <si>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</si>
  <si>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</si>
  <si>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</si>
  <si>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</si>
  <si>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</si>
  <si>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</si>
  <si>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</si>
  <si>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</si>
  <si>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</si>
  <si>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</si>
  <si>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</si>
  <si>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</si>
  <si>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</si>
  <si>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</si>
  <si>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</si>
  <si>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</si>
  <si>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</si>
  <si>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</si>
  <si>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</si>
  <si>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</si>
  <si>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</si>
  <si>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</si>
  <si>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</si>
  <si>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</si>
  <si>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</si>
  <si>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</si>
  <si>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</si>
  <si>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</si>
  <si>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</si>
  <si>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</si>
  <si>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</si>
  <si>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</si>
  <si>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</si>
  <si>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</si>
  <si>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</si>
  <si>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</si>
  <si>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</si>
  <si>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</si>
  <si>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</si>
  <si>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</si>
  <si>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</si>
  <si>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</si>
  <si>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</si>
  <si>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</si>
  <si>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</si>
  <si>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</si>
  <si>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</si>
  <si>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</si>
  <si>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</si>
  <si>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</si>
  <si>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</si>
  <si>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</si>
  <si>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</si>
  <si>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</si>
  <si>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</si>
  <si>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</si>
  <si>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</si>
  <si>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</si>
  <si>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</si>
  <si>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</si>
  <si>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</si>
  <si>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</si>
  <si>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</si>
  <si>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</si>
  <si>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</si>
  <si>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</si>
  <si>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</si>
  <si>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</si>
  <si>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</si>
  <si>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</si>
  <si>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</si>
  <si>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</si>
  <si>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</si>
  <si>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</si>
  <si>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</si>
  <si>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</si>
  <si>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</si>
  <si>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</si>
  <si>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</si>
  <si>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</si>
  <si>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</si>
  <si>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</si>
  <si>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</si>
  <si>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</si>
  <si>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</si>
  <si>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</si>
  <si>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</si>
  <si>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</si>
  <si>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</si>
  <si>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</si>
  <si>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</si>
  <si>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</si>
  <si>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</si>
  <si>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</si>
  <si>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</si>
  <si>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</si>
  <si>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</si>
  <si>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</si>
  <si>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</si>
  <si>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</si>
  <si>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</si>
  <si>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</si>
  <si>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</si>
  <si>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</si>
  <si>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</si>
  <si>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</si>
  <si>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</si>
  <si>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</si>
  <si>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</si>
  <si>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</si>
  <si>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</si>
  <si>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</si>
  <si>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</si>
  <si>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</si>
  <si>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</si>
  <si>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</si>
  <si>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</si>
  <si>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</si>
  <si>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</si>
  <si>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</si>
  <si>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</si>
  <si>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</si>
  <si>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</si>
  <si>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</si>
  <si>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</si>
  <si>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</si>
  <si>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</si>
  <si>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</si>
  <si>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</si>
  <si>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</si>
  <si>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</si>
  <si>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</si>
  <si>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</si>
  <si>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</si>
  <si>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</si>
  <si>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</si>
  <si>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</si>
  <si>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</si>
  <si>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</si>
  <si>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</si>
  <si>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</si>
  <si>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</si>
  <si>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</si>
  <si>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</si>
  <si>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</si>
  <si>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</si>
  <si>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</si>
  <si>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</si>
  <si>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</si>
  <si>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</si>
  <si>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</si>
  <si>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</si>
  <si>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</si>
  <si>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</si>
  <si>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</si>
  <si>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</si>
  <si>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</si>
  <si>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</si>
  <si>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</si>
  <si>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</si>
  <si>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</si>
  <si>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</si>
  <si>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</si>
  <si>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</si>
  <si>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</si>
  <si>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</si>
  <si>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</si>
  <si>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</si>
  <si>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</si>
  <si>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</si>
  <si>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</si>
  <si>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</si>
  <si>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</si>
  <si>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</si>
  <si>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</si>
  <si>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</si>
  <si>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</si>
  <si>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</si>
  <si>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</si>
  <si>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</si>
  <si>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</si>
  <si>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</si>
  <si>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</si>
  <si>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</si>
  <si>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</si>
  <si>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</si>
  <si>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</si>
  <si>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</si>
  <si>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</si>
  <si>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</si>
  <si>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</si>
  <si>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</si>
  <si>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</si>
  <si>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</si>
  <si>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</si>
  <si>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</si>
  <si>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</si>
  <si>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</si>
  <si>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</si>
  <si>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</si>
  <si>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</si>
  <si>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</si>
  <si>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</si>
  <si>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</si>
  <si>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</si>
  <si>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</si>
  <si>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</si>
  <si>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</si>
  <si>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</si>
  <si>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</si>
  <si>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</si>
  <si>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</si>
  <si>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</si>
  <si>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</si>
  <si>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</si>
  <si>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</si>
  <si>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</si>
  <si>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</si>
  <si>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</si>
  <si>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</si>
  <si>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</si>
  <si>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</si>
  <si>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</si>
  <si>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</si>
  <si>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</si>
  <si>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</si>
  <si>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</si>
  <si>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</si>
  <si>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</si>
  <si>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</si>
  <si>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</si>
  <si>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</si>
  <si>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</si>
  <si>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</si>
  <si>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</si>
  <si>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</si>
  <si>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</si>
  <si>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</si>
  <si>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</si>
  <si>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</si>
  <si>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</si>
  <si>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</si>
  <si>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</si>
  <si>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</si>
  <si>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</si>
  <si>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</si>
  <si>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</si>
  <si>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</si>
  <si>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</si>
  <si>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</si>
  <si>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</si>
  <si>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</si>
  <si>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</si>
  <si>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</si>
  <si>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</si>
  <si>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</si>
  <si>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</si>
  <si>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</si>
  <si>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</si>
  <si>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</si>
  <si>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</si>
  <si>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</si>
  <si>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</si>
  <si>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</si>
  <si>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</si>
  <si>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</si>
  <si>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</si>
  <si>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</si>
  <si>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</si>
  <si>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</si>
  <si>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</si>
  <si>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</si>
  <si>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</si>
  <si>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</si>
  <si>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</si>
  <si>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</si>
  <si>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</si>
  <si>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</si>
  <si>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</si>
  <si>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</si>
  <si>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</si>
  <si>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</si>
  <si>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</si>
  <si>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</si>
  <si>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</si>
  <si>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</si>
  <si>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</si>
  <si>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</si>
  <si>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</si>
  <si>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</si>
  <si>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</si>
  <si>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</si>
  <si>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</si>
  <si>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</si>
  <si>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</si>
  <si>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</si>
  <si>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</si>
  <si>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</si>
  <si>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</si>
  <si>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</si>
  <si>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</si>
  <si>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</si>
  <si>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</si>
  <si>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</si>
  <si>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</si>
  <si>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</si>
  <si>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</si>
  <si>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</si>
  <si>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</si>
  <si>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</si>
  <si>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</si>
  <si>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</si>
  <si>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</si>
  <si>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</si>
  <si>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</si>
  <si>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</si>
  <si>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</si>
  <si>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</si>
  <si>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</si>
  <si>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</si>
  <si>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</si>
  <si>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</si>
  <si>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</si>
  <si>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</si>
  <si>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</si>
  <si>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</si>
  <si>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</si>
  <si>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</si>
  <si>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</si>
  <si>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</si>
  <si>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</si>
  <si>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</si>
  <si>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</si>
  <si>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</si>
  <si>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</si>
  <si>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</si>
  <si>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</si>
  <si>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</si>
  <si>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</si>
  <si>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</si>
  <si>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</si>
  <si>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</si>
  <si>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</si>
  <si>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</si>
  <si>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</si>
  <si>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</si>
  <si>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</si>
  <si>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</si>
  <si>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</si>
  <si>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</si>
  <si>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</si>
  <si>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</si>
  <si>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</si>
  <si>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</si>
  <si>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</si>
  <si>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</si>
  <si>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</si>
  <si>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</si>
  <si>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</si>
  <si>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</si>
  <si>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</si>
  <si>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</si>
  <si>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</si>
  <si>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</si>
  <si>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</si>
  <si>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</si>
  <si>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</si>
  <si>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</si>
  <si>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</si>
  <si>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</si>
  <si>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</si>
  <si>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</si>
  <si>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</si>
  <si>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</si>
  <si>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</si>
  <si>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</si>
  <si>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</si>
  <si>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</si>
  <si>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</si>
  <si>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</si>
  <si>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</si>
  <si>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</si>
  <si>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</si>
  <si>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</si>
  <si>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</si>
  <si>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</si>
  <si>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</si>
  <si>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</si>
  <si>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</si>
  <si>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</si>
  <si>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</si>
  <si>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</si>
  <si>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</si>
  <si>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</si>
  <si>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</si>
  <si>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</si>
  <si>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</si>
  <si>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</si>
  <si>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</si>
  <si>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</si>
  <si>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</si>
  <si>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</si>
  <si>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</si>
  <si>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</si>
  <si>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</si>
  <si>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</si>
  <si>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</si>
  <si>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</si>
  <si>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</si>
  <si>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</si>
  <si>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</si>
  <si>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</si>
  <si>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</si>
  <si>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</si>
  <si>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</si>
  <si>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</si>
  <si>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</si>
  <si>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</si>
  <si>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</si>
  <si>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</si>
  <si>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</si>
  <si>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</si>
  <si>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</si>
  <si>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</si>
  <si>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</si>
  <si>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</si>
  <si>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</si>
  <si>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</si>
  <si>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</si>
  <si>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</si>
  <si>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</si>
  <si>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</si>
  <si>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</si>
  <si>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</si>
  <si>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</si>
  <si>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</si>
  <si>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</si>
  <si>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</si>
  <si>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</si>
  <si>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</si>
  <si>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</si>
  <si>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</si>
  <si>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</si>
  <si>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</si>
  <si>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</si>
  <si>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</si>
  <si>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</si>
  <si>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</si>
  <si>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</si>
  <si>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</si>
  <si>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</si>
  <si>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</si>
  <si>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</si>
  <si>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</si>
  <si>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</si>
  <si>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</si>
  <si>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</si>
  <si>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</si>
  <si>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</si>
  <si>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</si>
  <si>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</si>
  <si>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</si>
  <si>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</si>
  <si>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</si>
  <si>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</si>
  <si>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</si>
  <si>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</si>
  <si>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</si>
  <si>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</si>
  <si>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</si>
  <si>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</si>
  <si>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</si>
  <si>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</si>
  <si>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</si>
  <si>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</si>
  <si>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</si>
  <si>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</si>
  <si>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</si>
  <si>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</si>
  <si>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</si>
  <si>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</si>
  <si>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</si>
  <si>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</si>
  <si>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</si>
  <si>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</si>
  <si>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</si>
  <si>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</si>
  <si>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</si>
  <si>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</si>
  <si>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</si>
  <si>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</si>
  <si>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</si>
  <si>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</si>
  <si>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</si>
  <si>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</si>
  <si>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</si>
  <si>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</si>
  <si>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</si>
  <si>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</si>
  <si>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</si>
  <si>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</si>
  <si>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</si>
  <si>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</si>
  <si>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</si>
  <si>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</si>
  <si>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</si>
  <si>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</si>
  <si>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</si>
  <si>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</si>
  <si>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</si>
  <si>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</si>
  <si>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</si>
  <si>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</si>
  <si>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</si>
  <si>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</si>
  <si>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</si>
  <si>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</si>
  <si>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</si>
  <si>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</si>
  <si>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</si>
  <si>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</si>
  <si>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</si>
  <si>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</si>
  <si>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</si>
  <si>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</si>
  <si>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</si>
  <si>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</si>
  <si>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</si>
  <si>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</si>
  <si>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</si>
  <si>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</si>
  <si>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</si>
  <si>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</si>
  <si>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</si>
  <si>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</si>
  <si>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</si>
  <si>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</si>
  <si>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</si>
  <si>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</si>
  <si>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</si>
  <si>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</si>
  <si>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</si>
  <si>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</si>
  <si>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</si>
  <si>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</si>
  <si>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</si>
  <si>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</si>
  <si>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</si>
  <si>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</si>
  <si>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</si>
  <si>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</si>
  <si>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</si>
  <si>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</si>
  <si>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</si>
  <si>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</si>
  <si>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</si>
  <si>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</si>
  <si>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</si>
  <si>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</si>
  <si>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</si>
  <si>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</si>
  <si>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</si>
  <si>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</si>
  <si>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</si>
  <si>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</si>
  <si>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</si>
  <si>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</si>
  <si>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</si>
  <si>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</si>
  <si>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</si>
  <si>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</si>
  <si>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</si>
  <si>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</si>
  <si>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</si>
  <si>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</si>
  <si>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</si>
  <si>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</si>
  <si>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</si>
  <si>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</si>
  <si>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</si>
  <si>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</si>
  <si>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</si>
  <si>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</si>
  <si>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</si>
  <si>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</si>
  <si>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</si>
  <si>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</si>
  <si>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</si>
  <si>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</si>
  <si>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</si>
  <si>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</si>
  <si>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</si>
  <si>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</si>
  <si>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</si>
  <si>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</si>
  <si>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</si>
  <si>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</si>
  <si>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</si>
  <si>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</si>
  <si>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</si>
  <si>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</si>
  <si>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</si>
  <si>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</si>
  <si>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</si>
  <si>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</si>
  <si>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</si>
  <si>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</si>
  <si>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</si>
  <si>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</si>
  <si>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</si>
  <si>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</si>
  <si>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</si>
  <si>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</si>
  <si>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</si>
  <si>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</si>
  <si>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</si>
  <si>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</si>
  <si>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</si>
  <si>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</si>
  <si>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</si>
  <si>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</si>
  <si>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</si>
  <si>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</si>
  <si>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</si>
  <si>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</si>
  <si>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</si>
  <si>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</si>
  <si>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</si>
  <si>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</si>
  <si>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</si>
  <si>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</si>
  <si>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</si>
  <si>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</si>
  <si>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</si>
  <si>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</si>
  <si>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</si>
  <si>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</si>
  <si>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</si>
  <si>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</si>
  <si>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</si>
  <si>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</si>
  <si>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</si>
  <si>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</si>
  <si>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</si>
  <si>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</si>
  <si>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</si>
  <si>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</si>
  <si>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</si>
  <si>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</si>
  <si>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</si>
  <si>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</si>
  <si>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</si>
  <si>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</si>
  <si>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</si>
  <si>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</si>
  <si>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</si>
  <si>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</si>
  <si>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</si>
  <si>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</si>
  <si>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</si>
  <si>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</si>
  <si>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</si>
  <si>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</si>
  <si>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</si>
  <si>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</si>
  <si>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</si>
  <si>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</si>
  <si>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</si>
  <si>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</si>
  <si>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</si>
  <si>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</si>
  <si>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</si>
  <si>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</si>
  <si>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</si>
  <si>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</si>
  <si>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</si>
  <si>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</si>
  <si>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</si>
  <si>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</si>
  <si>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</si>
  <si>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</si>
  <si>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</si>
  <si>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</si>
  <si>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</si>
  <si>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</si>
  <si>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</si>
  <si>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</si>
  <si>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</si>
  <si>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</si>
  <si>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</si>
  <si>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</si>
  <si>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</si>
  <si>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</si>
  <si>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</si>
  <si>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</si>
  <si>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</si>
  <si>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</si>
  <si>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</si>
  <si>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</si>
  <si>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</si>
  <si>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</si>
  <si>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</si>
  <si>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</si>
  <si>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</si>
  <si>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</si>
  <si>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</si>
  <si>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</si>
  <si>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</si>
  <si>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</si>
  <si>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</si>
  <si>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</si>
  <si>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</si>
  <si>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</si>
  <si>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</si>
  <si>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</si>
  <si>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</si>
  <si>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</si>
  <si>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</si>
  <si>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</si>
  <si>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</si>
  <si>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</si>
  <si>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</si>
  <si>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</si>
  <si>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</si>
  <si>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</si>
  <si>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</si>
  <si>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</si>
  <si>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</si>
  <si>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</si>
  <si>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</si>
  <si>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</si>
  <si>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</si>
  <si>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</si>
  <si>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</si>
  <si>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</si>
  <si>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</si>
  <si>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</si>
  <si>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</si>
  <si>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</si>
  <si>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</si>
  <si>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</si>
  <si>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</si>
  <si>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</si>
  <si>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</si>
  <si>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</si>
  <si>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</si>
  <si>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</si>
  <si>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</si>
  <si>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</si>
  <si>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</si>
  <si>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</si>
  <si>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</si>
  <si>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</si>
  <si>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</si>
  <si>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</si>
  <si>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</si>
  <si>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</si>
  <si>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</si>
  <si>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</si>
  <si>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</si>
  <si>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</si>
  <si>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</si>
  <si>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</si>
  <si>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</si>
  <si>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</si>
  <si>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</si>
  <si>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</si>
  <si>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</si>
  <si>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</si>
  <si>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</si>
  <si>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</si>
  <si>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</si>
  <si>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</si>
  <si>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</si>
  <si>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</si>
  <si>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</si>
  <si>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</si>
  <si>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</si>
  <si>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</si>
  <si>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</si>
  <si>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</si>
  <si>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</si>
  <si>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</si>
  <si>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</si>
  <si>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</si>
  <si>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</si>
  <si>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</si>
  <si>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</si>
  <si>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</si>
  <si>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</si>
  <si>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</si>
  <si>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</si>
  <si>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</si>
  <si>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</si>
  <si>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</si>
  <si>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</si>
  <si>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</si>
  <si>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</si>
  <si>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</si>
  <si>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</si>
  <si>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</si>
  <si>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</si>
  <si>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</si>
  <si>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</si>
  <si>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</si>
  <si>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</si>
  <si>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</si>
  <si>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</si>
  <si>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</si>
  <si>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</si>
  <si>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</si>
  <si>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</si>
  <si>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</si>
  <si>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</si>
  <si>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</si>
  <si>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</si>
  <si>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</si>
  <si>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</si>
  <si>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</si>
  <si>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</si>
  <si>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</si>
  <si>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</si>
  <si>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</si>
  <si>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</si>
  <si>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</si>
  <si>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</si>
  <si>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</si>
  <si>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</si>
  <si>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</si>
  <si>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</si>
  <si>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</si>
  <si>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</si>
  <si>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</si>
  <si>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</si>
  <si>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</si>
  <si>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</si>
  <si>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</si>
  <si>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</si>
  <si>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</si>
  <si>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</si>
  <si>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</si>
  <si>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</si>
  <si>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</si>
  <si>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</si>
  <si>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</si>
  <si>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</si>
  <si>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</si>
  <si>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</si>
  <si>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</si>
  <si>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</si>
  <si>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</si>
  <si>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</si>
  <si>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</si>
  <si>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</si>
  <si>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</si>
  <si>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</si>
  <si>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</si>
  <si>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</si>
  <si>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</si>
  <si>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</si>
  <si>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</si>
  <si>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</si>
  <si>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</si>
  <si>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</si>
  <si>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</si>
  <si>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</si>
  <si>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</si>
  <si>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</si>
  <si>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</si>
  <si>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</si>
  <si>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</si>
  <si>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</si>
  <si>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</si>
  <si>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</si>
  <si>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</si>
  <si>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</si>
  <si>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</si>
  <si>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</si>
  <si>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</si>
  <si>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</si>
  <si>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</si>
  <si>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</si>
  <si>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</si>
  <si>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</si>
  <si>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</si>
  <si>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</si>
  <si>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</si>
  <si>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</si>
  <si>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</si>
  <si>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</si>
  <si>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</si>
  <si>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</si>
  <si>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</si>
  <si>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</si>
  <si>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</si>
  <si>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</si>
  <si>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</si>
  <si>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</si>
  <si>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</si>
  <si>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</si>
  <si>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</si>
  <si>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</si>
  <si>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</si>
  <si>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</si>
  <si>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</si>
  <si>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</si>
  <si>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</si>
  <si>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</si>
  <si>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</si>
  <si>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</si>
  <si>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</si>
  <si>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</si>
  <si>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</si>
  <si>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</si>
  <si>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</si>
  <si>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</si>
  <si>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</si>
  <si>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</si>
  <si>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</si>
  <si>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</si>
  <si>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</si>
  <si>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</si>
  <si>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</si>
  <si>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</si>
  <si>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</si>
  <si>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</si>
  <si>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</si>
  <si>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</si>
  <si>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</si>
  <si>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</si>
  <si>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</si>
  <si>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</si>
  <si>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</si>
  <si>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</si>
  <si>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</si>
  <si>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</si>
  <si>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</si>
  <si>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</si>
  <si>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</si>
  <si>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</si>
  <si>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</si>
  <si>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</si>
  <si>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</si>
  <si>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</si>
  <si>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</si>
  <si>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</si>
  <si>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</si>
  <si>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</si>
  <si>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</si>
  <si>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</si>
  <si>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</si>
  <si>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</si>
  <si>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</si>
  <si>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</si>
  <si>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</si>
  <si>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</si>
  <si>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</si>
  <si>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</si>
  <si>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</si>
  <si>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</si>
  <si>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</si>
  <si>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</si>
  <si>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</si>
  <si>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</si>
  <si>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</si>
  <si>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</si>
  <si>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</si>
  <si>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</si>
  <si>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</si>
  <si>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</si>
  <si>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</si>
  <si>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</si>
  <si>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</si>
  <si>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</si>
  <si>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</si>
  <si>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</si>
  <si>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</si>
  <si>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</si>
  <si>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</si>
  <si>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</si>
  <si>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</si>
  <si>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</si>
  <si>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</si>
  <si>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</si>
  <si>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</si>
  <si>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</si>
  <si>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</si>
  <si>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</si>
  <si>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</si>
  <si>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</si>
  <si>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</si>
  <si>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</si>
  <si>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</si>
  <si>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</si>
  <si>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</si>
  <si>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</si>
  <si>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</si>
  <si>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</si>
  <si>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</si>
  <si>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</si>
  <si>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</si>
  <si>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</si>
  <si>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</si>
  <si>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</si>
  <si>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</si>
  <si>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</si>
  <si>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</si>
  <si>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</si>
  <si>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</si>
  <si>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</si>
  <si>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</si>
  <si>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</si>
  <si>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</si>
  <si>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</si>
  <si>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</si>
  <si>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</si>
  <si>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</si>
  <si>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</si>
  <si>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</si>
  <si>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</si>
  <si>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</si>
  <si>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</si>
  <si>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</si>
  <si>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</si>
  <si>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</si>
  <si>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</si>
  <si>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</si>
  <si>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</si>
  <si>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</si>
  <si>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</si>
  <si>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</si>
  <si>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</si>
  <si>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</si>
  <si>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</si>
  <si>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</si>
  <si>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</si>
  <si>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</si>
  <si>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</si>
  <si>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</si>
  <si>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</si>
  <si>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</si>
  <si>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</si>
  <si>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</si>
  <si>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</si>
  <si>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</si>
  <si>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</si>
  <si>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</si>
  <si>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</si>
  <si>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</si>
  <si>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</si>
  <si>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</si>
  <si>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</si>
  <si>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</si>
  <si>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</si>
  <si>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</si>
  <si>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</si>
  <si>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</si>
  <si>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</si>
  <si>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</si>
  <si>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</si>
  <si>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</si>
  <si>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</si>
  <si>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</si>
  <si>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</si>
  <si>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</si>
  <si>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</si>
  <si>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</si>
  <si>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</si>
  <si>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</si>
  <si>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</si>
  <si>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</si>
  <si>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</si>
  <si>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</si>
  <si>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</si>
  <si>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</si>
  <si>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</si>
  <si>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</si>
  <si>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</si>
  <si>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</si>
  <si>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</si>
  <si>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</si>
  <si>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</si>
  <si>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</si>
  <si>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</si>
  <si>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</si>
  <si>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</si>
  <si>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</si>
  <si>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</si>
  <si>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</si>
  <si>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</si>
  <si>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</si>
  <si>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</si>
  <si>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</si>
  <si>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</si>
  <si>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</si>
  <si>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</si>
  <si>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</si>
  <si>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</si>
  <si>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</si>
  <si>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</si>
  <si>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</si>
  <si>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</si>
  <si>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</si>
  <si>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</si>
  <si>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</si>
  <si>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</si>
  <si>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</si>
  <si>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</si>
  <si>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</si>
  <si>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</si>
  <si>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</si>
  <si>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</si>
  <si>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</si>
  <si>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</si>
  <si>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</si>
  <si>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</si>
  <si>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</si>
  <si>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</si>
  <si>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</si>
  <si>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</si>
  <si>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</si>
  <si>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</si>
  <si>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</si>
  <si>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</si>
  <si>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</si>
  <si>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</si>
  <si>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</si>
  <si>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</si>
  <si>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</si>
  <si>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</si>
  <si>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</si>
  <si>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</si>
  <si>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</si>
  <si>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</si>
  <si>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</si>
  <si>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</si>
  <si>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</si>
  <si>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</si>
  <si>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</si>
  <si>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</si>
  <si>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</si>
  <si>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</si>
  <si>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</si>
  <si>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</si>
  <si>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</si>
  <si>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</si>
  <si>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</si>
  <si>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</si>
  <si>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</si>
  <si>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</si>
  <si>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</si>
  <si>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</si>
  <si>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</si>
  <si>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</si>
  <si>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</si>
  <si>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</si>
  <si>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</si>
  <si>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</si>
  <si>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</si>
  <si>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</si>
  <si>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</si>
  <si>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</si>
  <si>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</si>
  <si>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</si>
  <si>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</si>
  <si>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</si>
  <si>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</si>
  <si>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</si>
  <si>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</si>
  <si>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</si>
  <si>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</si>
  <si>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</si>
  <si>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</si>
  <si>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</si>
  <si>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</si>
  <si>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</si>
  <si>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</si>
  <si>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</si>
  <si>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</si>
  <si>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</si>
  <si>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</si>
  <si>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</si>
  <si>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</si>
  <si>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</si>
  <si>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</si>
  <si>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</si>
  <si>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</si>
  <si>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</si>
  <si>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</si>
  <si>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</si>
  <si>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</si>
  <si>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</si>
  <si>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</si>
  <si>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</si>
  <si>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</si>
  <si>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</si>
  <si>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</si>
  <si>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</si>
  <si>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</si>
  <si>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</si>
  <si>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</si>
  <si>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</si>
  <si>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</si>
  <si>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</si>
  <si>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</si>
  <si>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</si>
  <si>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</si>
  <si>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</si>
  <si>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</si>
  <si>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</si>
  <si>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</si>
  <si>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</si>
  <si>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</si>
  <si>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</si>
  <si>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</si>
  <si>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</si>
  <si>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</si>
  <si>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</si>
  <si>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</si>
  <si>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</si>
  <si>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</si>
  <si>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</si>
  <si>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</si>
  <si>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</si>
  <si>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</si>
  <si>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</si>
  <si>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</si>
  <si>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</si>
  <si>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</si>
  <si>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</si>
  <si>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</si>
  <si>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</si>
  <si>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</si>
  <si>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</si>
  <si>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</si>
  <si>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</si>
  <si>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</si>
  <si>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</si>
  <si>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</si>
  <si>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</si>
  <si>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</si>
  <si>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</si>
  <si>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</si>
  <si>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</si>
  <si>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</si>
  <si>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</si>
  <si>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</si>
  <si>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</si>
  <si>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</si>
  <si>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</si>
  <si>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</si>
  <si>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</si>
  <si>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</si>
  <si>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</si>
  <si>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</si>
  <si>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</si>
  <si>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</si>
  <si>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</si>
  <si>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</si>
  <si>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</si>
  <si>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</si>
  <si>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</si>
  <si>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</si>
  <si>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</si>
  <si>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</si>
  <si>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</si>
  <si>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</si>
  <si>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</si>
  <si>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</si>
  <si>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</si>
  <si>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</si>
  <si>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</si>
  <si>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</si>
  <si>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</si>
  <si>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</si>
  <si>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</si>
  <si>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</si>
  <si>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</si>
  <si>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</si>
  <si>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</si>
  <si>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</si>
  <si>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</si>
  <si>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</si>
  <si>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</si>
  <si>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</si>
  <si>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</si>
  <si>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</si>
  <si>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</si>
  <si>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</si>
  <si>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</si>
  <si>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</si>
  <si>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</si>
  <si>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</si>
  <si>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</si>
  <si>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</si>
  <si>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</si>
  <si>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</si>
  <si>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</si>
  <si>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</si>
  <si>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</si>
  <si>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</si>
  <si>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</si>
  <si>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</si>
  <si>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</si>
  <si>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</si>
  <si>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</si>
  <si>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</si>
  <si>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</si>
  <si>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</si>
  <si>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</si>
  <si>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</si>
  <si>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</si>
  <si>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</si>
  <si>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</si>
  <si>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</si>
  <si>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</si>
  <si>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</si>
  <si>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</si>
  <si>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</si>
  <si>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</si>
  <si>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</si>
  <si>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</si>
  <si>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</si>
  <si>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</si>
  <si>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</si>
  <si>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</si>
  <si>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</si>
  <si>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</si>
  <si>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</si>
  <si>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</si>
  <si>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</si>
  <si>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</si>
  <si>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</si>
  <si>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</si>
  <si>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</si>
  <si>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</si>
  <si>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</si>
  <si>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</si>
  <si>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</si>
  <si>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</si>
  <si>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</si>
  <si>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</si>
  <si>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</si>
  <si>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</si>
  <si>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</si>
  <si>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</si>
  <si>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</si>
  <si>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</si>
  <si>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</si>
  <si>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</si>
  <si>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</si>
  <si>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</si>
  <si>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</si>
  <si>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</si>
  <si>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</si>
  <si>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</si>
  <si>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</si>
  <si>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</si>
  <si>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</si>
  <si>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</si>
  <si>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</si>
  <si>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</si>
  <si>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</si>
  <si>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</si>
  <si>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</si>
  <si>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</si>
  <si>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</si>
  <si>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</si>
  <si>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</si>
  <si>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</si>
  <si>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</si>
  <si>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</si>
  <si>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</si>
  <si>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</si>
  <si>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</si>
  <si>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</si>
  <si>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</si>
  <si>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</si>
  <si>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</si>
  <si>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</si>
  <si>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</si>
  <si>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</si>
  <si>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</si>
  <si>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</si>
  <si>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</si>
  <si>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</si>
  <si>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</si>
  <si>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</si>
  <si>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</si>
  <si>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</si>
  <si>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</si>
  <si>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</si>
  <si>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</si>
  <si>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</si>
  <si>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</si>
  <si>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</si>
  <si>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</si>
  <si>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</si>
  <si>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</si>
  <si>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</si>
  <si>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</si>
  <si>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</si>
  <si>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</si>
  <si>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</si>
  <si>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</si>
  <si>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</si>
  <si>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</si>
  <si>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</si>
  <si>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</si>
  <si>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</si>
  <si>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</si>
  <si>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</si>
  <si>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</si>
  <si>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</si>
  <si>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</si>
  <si>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</si>
  <si>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</si>
  <si>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</si>
  <si>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</si>
  <si>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</si>
  <si>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</si>
  <si>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</si>
  <si>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</si>
  <si>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</si>
  <si>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</si>
  <si>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</si>
  <si>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</si>
  <si>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</si>
  <si>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</si>
  <si>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</si>
  <si>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</si>
  <si>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</si>
  <si>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</si>
  <si>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</si>
  <si>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</si>
  <si>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</si>
  <si>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</si>
  <si>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</si>
  <si>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</si>
  <si>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</si>
  <si>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</si>
  <si>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</si>
  <si>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</si>
  <si>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</si>
  <si>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</si>
  <si>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</si>
  <si>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</si>
  <si>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</si>
  <si>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</si>
  <si>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</si>
  <si>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</si>
  <si>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</si>
  <si>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</si>
  <si>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</si>
  <si>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</si>
  <si>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</si>
  <si>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</si>
  <si>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</si>
  <si>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</si>
  <si>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</si>
  <si>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</si>
  <si>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</si>
  <si>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</si>
  <si>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</si>
  <si>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</si>
  <si>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</si>
  <si>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</si>
  <si>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</si>
  <si>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</si>
  <si>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</si>
  <si>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</si>
  <si>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</si>
  <si>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</si>
  <si>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</si>
  <si>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</si>
  <si>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</si>
  <si>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</si>
  <si>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</si>
  <si>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</si>
  <si>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</si>
  <si>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</si>
  <si>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</si>
  <si>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</si>
  <si>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</si>
  <si>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</si>
  <si>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</si>
  <si>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</si>
  <si>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</si>
  <si>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</si>
  <si>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</si>
  <si>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</si>
  <si>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</si>
  <si>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</si>
  <si>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</si>
  <si>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</si>
  <si>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</si>
  <si>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</si>
  <si>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</si>
  <si>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</si>
  <si>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</si>
  <si>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</si>
  <si>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</si>
  <si>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</si>
  <si>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</si>
  <si>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</si>
  <si>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</si>
  <si>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</si>
  <si>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</si>
  <si>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</si>
  <si>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</si>
  <si>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</si>
  <si>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</si>
  <si>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</si>
  <si>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</si>
  <si>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</si>
  <si>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</si>
  <si>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</si>
  <si>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</si>
  <si>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</si>
  <si>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</si>
  <si>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</si>
  <si>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</si>
  <si>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</si>
  <si>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</si>
  <si>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</si>
  <si>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</si>
  <si>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</si>
  <si>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</si>
  <si>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</si>
  <si>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</si>
  <si>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</si>
  <si>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</si>
  <si>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</si>
  <si>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</si>
  <si>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</si>
  <si>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</si>
  <si>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</si>
  <si>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</si>
  <si>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</si>
  <si>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</si>
  <si>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</si>
  <si>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</si>
  <si>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</si>
  <si>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</si>
  <si>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</si>
  <si>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</si>
  <si>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</si>
  <si>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</si>
  <si>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</si>
  <si>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</si>
  <si>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</si>
  <si>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</si>
  <si>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</si>
  <si>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</si>
  <si>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</si>
  <si>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</si>
  <si>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</si>
  <si>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</si>
  <si>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</si>
  <si>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</si>
  <si>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</si>
  <si>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</si>
  <si>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</si>
  <si>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</si>
  <si>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</si>
  <si>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</si>
  <si>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</si>
  <si>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</si>
  <si>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</si>
  <si>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</si>
  <si>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</si>
  <si>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</si>
  <si>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</si>
  <si>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</si>
  <si>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</si>
  <si>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</si>
  <si>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</si>
  <si>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</si>
  <si>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</si>
  <si>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</si>
  <si>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</si>
  <si>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</si>
  <si>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</si>
  <si>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</si>
  <si>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</si>
  <si>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</si>
  <si>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</si>
  <si>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</si>
  <si>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</si>
  <si>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</si>
  <si>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</si>
  <si>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</si>
  <si>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</si>
  <si>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</si>
  <si>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</si>
  <si>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</si>
  <si>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</si>
  <si>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</si>
  <si>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</si>
  <si>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</si>
  <si>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</si>
  <si>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</si>
  <si>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</si>
  <si>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</si>
  <si>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</si>
  <si>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</si>
  <si>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</si>
  <si>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</si>
  <si>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</si>
  <si>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</si>
  <si>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</si>
  <si>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</si>
  <si>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</si>
  <si>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</si>
  <si>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</si>
  <si>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</si>
  <si>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</si>
  <si>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</si>
  <si>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</si>
  <si>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</si>
  <si>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</si>
  <si>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</si>
  <si>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</si>
  <si>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</si>
  <si>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</si>
  <si>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</si>
  <si>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</si>
  <si>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</si>
  <si>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</si>
  <si>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</si>
  <si>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</si>
  <si>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</si>
  <si>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</si>
  <si>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</si>
  <si>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</si>
  <si>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</si>
  <si>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</si>
  <si>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</si>
  <si>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</si>
  <si>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</si>
  <si>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</si>
  <si>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</si>
  <si>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</si>
  <si>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</si>
  <si>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</si>
  <si>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</si>
  <si>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</si>
  <si>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</si>
  <si>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</si>
  <si>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</si>
  <si>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</si>
  <si>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</si>
  <si>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</si>
  <si>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</si>
  <si>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</si>
  <si>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</si>
  <si>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</si>
  <si>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</si>
  <si>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</si>
  <si>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</si>
  <si>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</si>
  <si>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</si>
  <si>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</si>
  <si>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</si>
  <si>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</si>
  <si>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</si>
  <si>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</si>
  <si>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</si>
  <si>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</si>
  <si>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</si>
  <si>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</si>
  <si>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</si>
  <si>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</si>
  <si>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</si>
  <si>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</si>
  <si>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</si>
  <si>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</si>
  <si>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</si>
  <si>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</si>
  <si>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</si>
  <si>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</si>
  <si>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</si>
  <si>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</si>
  <si>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</si>
  <si>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</si>
  <si>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</si>
  <si>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</si>
  <si>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</si>
  <si>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</si>
  <si>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</si>
  <si>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</si>
  <si>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</si>
  <si>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</si>
  <si>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</si>
  <si>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</si>
  <si>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</si>
  <si>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</si>
  <si>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</si>
  <si>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</si>
  <si>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</si>
  <si>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</si>
  <si>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</si>
  <si>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</si>
  <si>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</si>
  <si>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</si>
  <si>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</si>
  <si>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</si>
  <si>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</si>
  <si>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</si>
  <si>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</si>
  <si>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</si>
  <si>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</si>
  <si>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</si>
  <si>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</si>
  <si>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</si>
  <si>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</si>
  <si>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</si>
  <si>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</si>
  <si>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</si>
  <si>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</si>
  <si>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</si>
  <si>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</si>
  <si>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</si>
  <si>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</si>
  <si>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</si>
  <si>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</si>
  <si>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</si>
  <si>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</si>
  <si>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</si>
  <si>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</si>
  <si>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</si>
  <si>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</si>
  <si>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</si>
  <si>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</si>
  <si>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</si>
  <si>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</si>
  <si>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</si>
  <si>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</si>
  <si>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</si>
  <si>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</si>
  <si>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</si>
  <si>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</si>
  <si>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</si>
  <si>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</si>
  <si>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</si>
  <si>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</si>
  <si>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</si>
  <si>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</si>
  <si>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</si>
  <si>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</si>
  <si>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</si>
  <si>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</si>
  <si>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</si>
  <si>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</si>
  <si>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</si>
  <si>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</si>
  <si>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</si>
  <si>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</si>
  <si>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</si>
  <si>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</si>
  <si>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</si>
  <si>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</si>
  <si>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</si>
  <si>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</si>
  <si>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</si>
  <si>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</si>
  <si>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</si>
  <si>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</si>
  <si>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</si>
  <si>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</si>
  <si>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</si>
  <si>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</si>
  <si>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</si>
  <si>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</si>
  <si>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</si>
  <si>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</si>
  <si>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</si>
  <si>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</si>
  <si>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</si>
  <si>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</si>
  <si>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</si>
  <si>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</si>
  <si>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</si>
  <si>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</si>
  <si>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</si>
  <si>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</si>
  <si>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</si>
  <si>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</si>
  <si>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</si>
  <si>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</si>
  <si>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</si>
  <si>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</si>
  <si>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</si>
  <si>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</si>
  <si>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</si>
  <si>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</si>
  <si>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</si>
  <si>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</si>
  <si>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</si>
  <si>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</si>
  <si>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</si>
  <si>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</si>
  <si>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</si>
  <si>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</si>
  <si>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</si>
  <si>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</si>
  <si>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</si>
  <si>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</si>
  <si>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</si>
  <si>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</si>
  <si>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</si>
  <si>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</si>
  <si>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</si>
  <si>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</si>
  <si>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</si>
  <si>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</si>
  <si>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</si>
  <si>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</si>
  <si>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</si>
  <si>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</si>
  <si>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</si>
  <si>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</si>
  <si>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</si>
  <si>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</si>
  <si>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</si>
  <si>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</si>
  <si>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</si>
  <si>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</si>
  <si>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</si>
  <si>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</si>
  <si>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</si>
  <si>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</si>
  <si>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</si>
  <si>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</si>
  <si>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</si>
  <si>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</si>
  <si>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</si>
  <si>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</si>
  <si>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</si>
  <si>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</si>
  <si>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</si>
  <si>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</si>
  <si>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</si>
  <si>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</si>
  <si>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</si>
  <si>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</si>
  <si>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</si>
  <si>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</si>
  <si>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</si>
  <si>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</si>
  <si>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</si>
  <si>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</si>
  <si>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</si>
  <si>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</si>
  <si>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</si>
  <si>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</si>
  <si>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</si>
  <si>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</si>
  <si>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</si>
  <si>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</si>
  <si>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</si>
  <si>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</si>
  <si>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</si>
  <si>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</si>
  <si>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</si>
  <si>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</si>
  <si>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</si>
  <si>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</si>
  <si>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</si>
  <si>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</si>
  <si>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</si>
  <si>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</si>
  <si>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</si>
  <si>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</si>
  <si>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</si>
  <si>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</si>
  <si>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</si>
  <si>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</si>
  <si>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</si>
  <si>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</si>
  <si>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</si>
  <si>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</si>
  <si>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</si>
  <si>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</si>
  <si>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</si>
  <si>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</si>
  <si>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</si>
  <si>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</si>
  <si>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</si>
  <si>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</si>
  <si>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</si>
  <si>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</si>
  <si>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</si>
  <si>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</si>
  <si>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</si>
  <si>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</si>
  <si>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</si>
  <si>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</si>
  <si>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</si>
  <si>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</si>
  <si>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</si>
  <si>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</si>
  <si>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</si>
  <si>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</si>
  <si>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</si>
  <si>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</si>
  <si>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</si>
  <si>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</si>
  <si>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</si>
  <si>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</si>
  <si>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</si>
  <si>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</si>
  <si>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</si>
  <si>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</si>
  <si>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</si>
  <si>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</si>
  <si>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</si>
  <si>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</si>
  <si>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</si>
  <si>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</si>
  <si>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</si>
  <si>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</si>
  <si>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</si>
  <si>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</si>
  <si>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</si>
  <si>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</si>
  <si>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</si>
  <si>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</si>
  <si>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</si>
  <si>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</si>
  <si>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</si>
  <si>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</si>
  <si>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</si>
  <si>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</si>
  <si>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</si>
  <si>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</si>
  <si>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</si>
  <si>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</si>
  <si>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</si>
  <si>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</si>
  <si>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</si>
  <si>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</si>
  <si>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</si>
  <si>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</si>
  <si>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</si>
  <si>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</si>
  <si>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</si>
  <si>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</si>
  <si>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</si>
  <si>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</si>
  <si>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</si>
  <si>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</si>
  <si>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</si>
  <si>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</si>
  <si>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</si>
  <si>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</si>
  <si>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</si>
  <si>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</si>
  <si>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</si>
  <si>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</si>
  <si>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</si>
  <si>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</si>
  <si>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</si>
  <si>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</si>
  <si>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</si>
  <si>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</si>
  <si>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</si>
  <si>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</si>
  <si>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</si>
  <si>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</si>
  <si>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</si>
  <si>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</si>
  <si>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</si>
  <si>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</si>
  <si>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</si>
  <si>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</si>
  <si>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</si>
  <si>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</si>
  <si>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</si>
  <si>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</si>
  <si>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</si>
  <si>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</si>
  <si>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</si>
  <si>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</si>
  <si>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</si>
  <si>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</si>
  <si>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</si>
  <si>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</si>
  <si>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</si>
  <si>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</si>
  <si>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</si>
  <si>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</si>
  <si>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</si>
  <si>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</si>
  <si>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</si>
  <si>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</si>
  <si>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</si>
  <si>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</si>
  <si>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</si>
  <si>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</si>
  <si>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</si>
  <si>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</si>
  <si>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</si>
  <si>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</si>
  <si>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</si>
  <si>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</si>
  <si>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</si>
  <si>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</si>
  <si>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</si>
  <si>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</si>
  <si>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</si>
  <si>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</si>
  <si>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</si>
  <si>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</si>
  <si>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</si>
  <si>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</si>
  <si>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</si>
  <si>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</si>
  <si>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</si>
  <si>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</si>
  <si>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</si>
  <si>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</si>
  <si>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</si>
  <si>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</si>
  <si>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</si>
  <si>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</si>
  <si>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</si>
  <si>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</si>
  <si>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</si>
  <si>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</si>
  <si>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</si>
  <si>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</si>
  <si>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</si>
  <si>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</si>
  <si>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</si>
  <si>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</si>
  <si>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</si>
  <si>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</si>
  <si>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</si>
  <si>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</si>
  <si>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</si>
  <si>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</si>
  <si>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</si>
  <si>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</si>
  <si>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</si>
  <si>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</si>
  <si>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</si>
  <si>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</si>
  <si>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</si>
  <si>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</si>
  <si>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</si>
  <si>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</si>
  <si>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</si>
  <si>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</si>
  <si>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</si>
  <si>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</si>
  <si>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</si>
  <si>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</si>
  <si>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</si>
  <si>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</si>
  <si>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</si>
  <si>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</si>
  <si>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</si>
  <si>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</si>
  <si>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</si>
  <si>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</si>
  <si>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</si>
  <si>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</si>
  <si>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</si>
  <si>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</si>
  <si>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</si>
  <si>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</si>
  <si>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</si>
  <si>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</si>
  <si>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</si>
  <si>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</si>
  <si>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</si>
  <si>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</si>
  <si>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</si>
  <si>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</si>
  <si>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</si>
  <si>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</si>
  <si>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</si>
  <si>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</si>
  <si>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</si>
  <si>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</si>
  <si>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</si>
  <si>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</si>
  <si>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</si>
  <si>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</si>
  <si>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</si>
  <si>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</si>
  <si>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</si>
  <si>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</si>
  <si>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</si>
  <si>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</si>
  <si>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</si>
  <si>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</si>
  <si>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</si>
  <si>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</si>
  <si>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</si>
  <si>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</si>
  <si>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</si>
  <si>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</si>
  <si>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</si>
  <si>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</si>
  <si>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</si>
  <si>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</si>
  <si>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</si>
  <si>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</si>
  <si>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</si>
  <si>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</si>
  <si>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</si>
  <si>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</si>
  <si>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</si>
  <si>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</si>
  <si>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</si>
  <si>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</si>
  <si>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</si>
  <si>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</si>
  <si>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</si>
  <si>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</si>
  <si>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</si>
  <si>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</si>
  <si>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</si>
  <si>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</si>
  <si>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</si>
  <si>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</si>
  <si>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</si>
  <si>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</si>
  <si>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</si>
  <si>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</si>
  <si>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</si>
  <si>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</si>
  <si>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</si>
  <si>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</si>
  <si>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</si>
  <si>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</si>
  <si>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</si>
  <si>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</si>
  <si>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</si>
  <si>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</si>
  <si>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</si>
  <si>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</si>
  <si>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</si>
  <si>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</si>
  <si>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</si>
  <si>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</si>
  <si>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</si>
  <si>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</si>
  <si>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</si>
  <si>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</si>
  <si>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</si>
  <si>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</si>
  <si>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</si>
  <si>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</si>
  <si>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</si>
  <si>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</si>
  <si>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</si>
  <si>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</si>
  <si>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</si>
  <si>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</si>
  <si>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</si>
  <si>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</si>
  <si>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</si>
  <si>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</si>
  <si>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</si>
  <si>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</si>
  <si>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</si>
  <si>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</si>
  <si>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</si>
  <si>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</si>
  <si>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</si>
  <si>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</si>
  <si>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</si>
  <si>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</si>
  <si>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</si>
  <si>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</si>
  <si>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</si>
  <si>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</si>
  <si>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</si>
  <si>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</si>
  <si>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</si>
  <si>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</si>
  <si>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</si>
  <si>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</si>
  <si>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</si>
  <si>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</si>
  <si>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</si>
  <si>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</si>
  <si>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</si>
  <si>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</si>
  <si>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</si>
  <si>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</si>
  <si>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</si>
  <si>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</si>
  <si>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</si>
  <si>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</si>
  <si>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</si>
  <si>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</si>
  <si>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</si>
  <si>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</si>
  <si>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</si>
  <si>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</si>
  <si>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</si>
  <si>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</si>
  <si>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</si>
  <si>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</si>
  <si>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</si>
  <si>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</si>
  <si>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</si>
  <si>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</si>
  <si>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</si>
  <si>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</si>
  <si>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</si>
  <si>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</si>
  <si>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</si>
  <si>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</si>
  <si>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</si>
  <si>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</si>
  <si>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</si>
  <si>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</si>
  <si>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</si>
  <si>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</si>
  <si>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</si>
  <si>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</si>
  <si>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</si>
  <si>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</si>
  <si>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</si>
  <si>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</si>
  <si>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</si>
  <si>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</si>
  <si>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</si>
  <si>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</si>
  <si>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</si>
  <si>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</si>
  <si>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</si>
  <si>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</si>
  <si>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</si>
  <si>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</si>
  <si>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</si>
  <si>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</si>
  <si>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</si>
  <si>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</si>
  <si>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</si>
  <si>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</si>
  <si>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</si>
  <si>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</si>
  <si>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</si>
  <si>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</si>
  <si>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</si>
  <si>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</si>
  <si>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</si>
  <si>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</si>
  <si>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</si>
  <si>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</si>
  <si>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</si>
  <si>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</si>
  <si>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</si>
  <si>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</si>
  <si>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</si>
  <si>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</si>
  <si>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</si>
  <si>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</si>
  <si>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</si>
  <si>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</si>
  <si>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</si>
  <si>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</si>
  <si>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</si>
  <si>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</si>
  <si>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</si>
  <si>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</si>
  <si>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</si>
  <si>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</si>
  <si>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</si>
  <si>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</si>
  <si>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</si>
  <si>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</si>
  <si>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</si>
  <si>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</si>
  <si>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</si>
  <si>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</si>
  <si>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</si>
  <si>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</si>
  <si>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</si>
  <si>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</si>
  <si>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</si>
  <si>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</si>
  <si>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</si>
  <si>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</si>
  <si>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</si>
  <si>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</si>
  <si>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</si>
  <si>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</si>
  <si>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</si>
  <si>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</si>
  <si>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</si>
  <si>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</si>
  <si>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</si>
  <si>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</si>
  <si>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</si>
  <si>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</si>
  <si>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</si>
  <si>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</si>
  <si>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</si>
  <si>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</si>
  <si>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</si>
  <si>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</si>
  <si>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</si>
  <si>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</si>
  <si>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</si>
  <si>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</si>
  <si>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</si>
  <si>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</si>
  <si>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</si>
  <si>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</si>
  <si>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</si>
  <si>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</si>
  <si>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</si>
  <si>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</si>
  <si>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</si>
  <si>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</si>
  <si>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</si>
  <si>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</si>
  <si>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</si>
  <si>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</si>
  <si>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</si>
  <si>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</si>
  <si>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</si>
  <si>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</si>
  <si>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</si>
  <si>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</si>
  <si>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</si>
  <si>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</si>
  <si>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</si>
  <si>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</si>
  <si>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</si>
  <si>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</si>
  <si>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</si>
  <si>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</si>
  <si>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</si>
  <si>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</si>
  <si>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</si>
  <si>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</si>
  <si>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</si>
  <si>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</si>
  <si>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</si>
  <si>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</si>
  <si>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</si>
  <si>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</si>
  <si>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</si>
  <si>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</si>
  <si>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</si>
  <si>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</si>
  <si>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</si>
  <si>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</si>
  <si>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</si>
  <si>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</si>
  <si>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</si>
  <si>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</si>
  <si>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</si>
  <si>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</si>
  <si>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</si>
  <si>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</si>
  <si>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</si>
  <si>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</si>
  <si>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</si>
  <si>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</si>
  <si>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</si>
  <si>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</si>
  <si>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</si>
  <si>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</si>
  <si>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</si>
  <si>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</si>
  <si>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</si>
  <si>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</si>
  <si>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</si>
  <si>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</si>
  <si>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</si>
  <si>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</si>
  <si>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</si>
  <si>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</si>
  <si>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</si>
  <si>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</si>
  <si>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</si>
  <si>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</si>
  <si>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</si>
  <si>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</si>
  <si>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</si>
  <si>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</si>
  <si>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</si>
  <si>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</si>
  <si>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</si>
  <si>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</si>
  <si>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</si>
  <si>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</si>
  <si>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</si>
  <si>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</si>
  <si>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</si>
  <si>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</si>
  <si>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</si>
  <si>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</si>
  <si>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</si>
  <si>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</si>
  <si>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</si>
  <si>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</si>
  <si>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</si>
  <si>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</si>
  <si>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</si>
  <si>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</si>
  <si>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</si>
  <si>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</si>
  <si>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</si>
  <si>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</si>
  <si>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</si>
  <si>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</si>
  <si>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</si>
  <si>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</si>
  <si>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</si>
  <si>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</si>
  <si>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</si>
  <si>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</si>
  <si>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</si>
  <si>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</si>
  <si>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</si>
  <si>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</si>
  <si>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</si>
  <si>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</si>
  <si>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</si>
  <si>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</si>
  <si>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</si>
  <si>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</si>
  <si>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</si>
  <si>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</si>
  <si>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</si>
  <si>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</si>
  <si>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</si>
  <si>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</si>
  <si>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</si>
  <si>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</si>
  <si>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</si>
  <si>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</si>
  <si>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</si>
  <si>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</si>
  <si>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</si>
  <si>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</si>
  <si>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</si>
  <si>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</si>
  <si>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</si>
  <si>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</si>
  <si>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</si>
  <si>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</si>
  <si>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</si>
  <si>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</si>
  <si>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</si>
  <si>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</si>
  <si>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</si>
  <si>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</si>
  <si>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</si>
  <si>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</si>
  <si>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</si>
  <si>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</si>
  <si>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</si>
  <si>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</si>
  <si>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</si>
  <si>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</si>
  <si>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</si>
  <si>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</si>
  <si>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</si>
  <si>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</si>
  <si>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</si>
  <si>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</si>
  <si>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</si>
  <si>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</si>
  <si>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</si>
  <si>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</si>
  <si>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</si>
  <si>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</si>
  <si>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</si>
  <si>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</si>
  <si>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</si>
  <si>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</si>
  <si>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</si>
  <si>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</si>
  <si>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</si>
  <si>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</si>
  <si>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</si>
  <si>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</si>
  <si>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</si>
  <si>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</si>
  <si>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</si>
  <si>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</si>
  <si>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</si>
  <si>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</si>
  <si>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</si>
  <si>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</si>
  <si>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</si>
  <si>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</si>
  <si>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</si>
  <si>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</si>
  <si>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</si>
  <si>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</si>
  <si>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</si>
  <si>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</si>
  <si>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</si>
  <si>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</si>
  <si>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</si>
  <si>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</si>
  <si>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</si>
  <si>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</si>
  <si>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</si>
  <si>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</si>
  <si>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</si>
  <si>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</si>
  <si>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</si>
  <si>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</si>
  <si>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</si>
  <si>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</si>
  <si>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</si>
  <si>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</si>
  <si>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</si>
  <si>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</si>
  <si>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</si>
  <si>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</si>
  <si>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</si>
  <si>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</si>
  <si>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</si>
  <si>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</si>
  <si>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</si>
  <si>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</si>
  <si>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</si>
  <si>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</si>
  <si>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</si>
  <si>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</si>
  <si>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</si>
  <si>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</si>
  <si>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</si>
  <si>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</si>
  <si>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</si>
  <si>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</si>
  <si>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</si>
  <si>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</si>
  <si>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</si>
  <si>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</si>
  <si>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</si>
  <si>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</si>
  <si>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</si>
  <si>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</si>
  <si>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</si>
  <si>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</si>
  <si>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</si>
  <si>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</si>
  <si>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</si>
  <si>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</si>
  <si>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</si>
  <si>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</si>
  <si>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</si>
  <si>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</si>
  <si>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</si>
  <si>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</si>
  <si>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</si>
  <si>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</si>
  <si>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</si>
  <si>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</si>
  <si>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</si>
  <si>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</si>
  <si>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</si>
  <si>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</si>
  <si>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</si>
  <si>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</si>
  <si>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</si>
  <si>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</si>
  <si>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</si>
  <si>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</si>
  <si>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</si>
  <si>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</si>
  <si>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</si>
  <si>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</si>
  <si>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</si>
  <si>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</si>
  <si>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</si>
  <si>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</si>
  <si>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</si>
  <si>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</si>
  <si>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</si>
  <si>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</si>
  <si>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</si>
  <si>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</si>
  <si>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</si>
  <si>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</si>
  <si>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</si>
  <si>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</si>
  <si>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</si>
  <si>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</si>
  <si>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</si>
  <si>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</si>
  <si>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</si>
  <si>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</si>
  <si>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</si>
  <si>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</si>
  <si>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</si>
  <si>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</si>
  <si>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</si>
  <si>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</si>
  <si>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</si>
  <si>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</si>
  <si>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</si>
  <si>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</si>
  <si>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</si>
  <si>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</si>
  <si>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</si>
  <si>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</si>
  <si>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</si>
  <si>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</si>
  <si>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</si>
  <si>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</si>
  <si>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</si>
  <si>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</si>
  <si>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</si>
  <si>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</si>
  <si>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</si>
  <si>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</si>
  <si>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</si>
  <si>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</si>
  <si>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</si>
  <si>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</si>
  <si>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</si>
  <si>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</si>
  <si>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</si>
  <si>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</si>
  <si>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</si>
  <si>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</si>
  <si>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</si>
  <si>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</si>
  <si>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</si>
  <si>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</si>
  <si>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</si>
  <si>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</si>
  <si>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</si>
  <si>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</si>
  <si>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</si>
  <si>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</si>
  <si>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</si>
  <si>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</si>
  <si>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</si>
  <si>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</si>
  <si>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</si>
  <si>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</si>
  <si>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</si>
  <si>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</si>
  <si>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</si>
  <si>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</si>
  <si>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</si>
  <si>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</si>
  <si>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</si>
  <si>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</si>
  <si>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</si>
  <si>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</si>
  <si>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</si>
  <si>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</si>
  <si>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</si>
  <si>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</si>
  <si>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</si>
  <si>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</si>
  <si>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</si>
  <si>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</si>
  <si>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</si>
  <si>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</si>
  <si>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</si>
  <si>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</si>
  <si>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</si>
  <si>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</si>
  <si>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</si>
  <si>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</si>
  <si>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</si>
  <si>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</si>
  <si>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</si>
  <si>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</si>
  <si>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</si>
  <si>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</si>
  <si>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</si>
  <si>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</si>
  <si>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</si>
  <si>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</si>
  <si>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</si>
  <si>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</si>
  <si>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</si>
  <si>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</si>
  <si>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</si>
  <si>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</si>
  <si>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</si>
  <si>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</si>
  <si>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</si>
  <si>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</si>
  <si>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</si>
  <si>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</si>
  <si>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</si>
  <si>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</si>
  <si>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</si>
  <si>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</si>
  <si>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</si>
  <si>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</si>
  <si>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</si>
  <si>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</si>
  <si>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</si>
  <si>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</si>
  <si>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</si>
  <si>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</si>
  <si>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</si>
  <si>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</si>
  <si>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</si>
  <si>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</si>
  <si>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</si>
  <si>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</si>
  <si>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</si>
  <si>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</si>
  <si>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</si>
  <si>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</si>
  <si>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</si>
  <si>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</si>
  <si>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</si>
  <si>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</si>
  <si>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</si>
  <si>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</si>
  <si>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</si>
  <si>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</si>
  <si>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</si>
  <si>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</si>
  <si>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</si>
  <si>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</si>
  <si>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</si>
  <si>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</si>
  <si>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</si>
  <si>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</si>
  <si>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</si>
  <si>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</si>
  <si>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</si>
  <si>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</si>
  <si>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</si>
  <si>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</si>
  <si>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</si>
  <si>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</si>
  <si>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</si>
  <si>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</si>
  <si>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</si>
  <si>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</si>
  <si>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</si>
  <si>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</si>
  <si>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</si>
  <si>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</si>
  <si>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</si>
  <si>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</si>
  <si>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</si>
  <si>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</si>
  <si>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</si>
  <si>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</si>
  <si>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</si>
  <si>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</si>
  <si>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</si>
  <si>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</si>
  <si>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</si>
  <si>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</si>
  <si>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</si>
  <si>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</si>
  <si>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</si>
  <si>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</si>
  <si>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</si>
  <si>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</si>
  <si>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</si>
  <si>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</si>
  <si>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</si>
  <si>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</si>
  <si>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</si>
  <si>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</si>
  <si>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</si>
  <si>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</si>
  <si>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</si>
  <si>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</si>
  <si>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</si>
  <si>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</si>
  <si>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</si>
  <si>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</si>
  <si>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</si>
  <si>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</si>
  <si>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</si>
  <si>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</si>
  <si>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</si>
  <si>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</si>
  <si>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</si>
  <si>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</si>
  <si>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</si>
  <si>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</si>
  <si>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</si>
  <si>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</si>
  <si>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</si>
  <si>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</si>
  <si>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</si>
  <si>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</si>
  <si>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</si>
  <si>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</si>
  <si>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</si>
  <si>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</si>
  <si>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</si>
  <si>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</si>
  <si>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</si>
  <si>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</si>
  <si>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</si>
  <si>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</si>
  <si>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</si>
  <si>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</si>
  <si>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</si>
  <si>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</si>
  <si>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</si>
  <si>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</si>
  <si>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</si>
  <si>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</si>
  <si>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</si>
  <si>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</si>
  <si>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</si>
  <si>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</si>
  <si>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</si>
  <si>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</si>
  <si>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</si>
  <si>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</si>
  <si>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</si>
  <si>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</si>
  <si>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</si>
  <si>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</si>
  <si>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</si>
  <si>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</si>
  <si>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</si>
  <si>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</si>
  <si>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</si>
  <si>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</si>
  <si>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</si>
  <si>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</si>
  <si>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</si>
  <si>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</si>
  <si>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</si>
  <si>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</si>
  <si>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</si>
  <si>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</si>
  <si>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</si>
  <si>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</si>
  <si>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</si>
  <si>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</si>
  <si>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</si>
  <si>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</si>
  <si>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</si>
  <si>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</si>
  <si>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</si>
  <si>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</si>
  <si>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</si>
  <si>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</si>
  <si>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</si>
  <si>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</si>
  <si>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</si>
  <si>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</si>
  <si>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</si>
  <si>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</si>
  <si>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</si>
  <si>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</si>
  <si>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</si>
  <si>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</si>
  <si>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</si>
  <si>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</si>
  <si>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</si>
  <si>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</si>
  <si>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</si>
  <si>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</si>
  <si>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</si>
  <si>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</si>
  <si>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</si>
  <si>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</si>
  <si>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</si>
  <si>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</si>
  <si>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</si>
  <si>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</si>
  <si>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</si>
  <si>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</si>
  <si>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</si>
  <si>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</si>
  <si>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</si>
  <si>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</si>
  <si>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</si>
  <si>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</si>
  <si>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</si>
  <si>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</si>
  <si>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</si>
  <si>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</si>
  <si>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</si>
  <si>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</si>
  <si>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</si>
  <si>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</si>
  <si>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</si>
  <si>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</si>
  <si>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</si>
  <si>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</si>
  <si>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</si>
  <si>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</si>
  <si>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</si>
  <si>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</si>
  <si>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</si>
  <si>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</si>
  <si>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</si>
  <si>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</si>
  <si>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</si>
  <si>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</si>
  <si>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</si>
  <si>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</si>
  <si>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</si>
  <si>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</si>
  <si>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</si>
  <si>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</si>
  <si>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</si>
  <si>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</si>
  <si>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</si>
  <si>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</si>
  <si>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</si>
  <si>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</si>
  <si>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</si>
  <si>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</si>
  <si>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</si>
  <si>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</si>
  <si>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</si>
  <si>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</si>
  <si>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</si>
  <si>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</si>
  <si>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</si>
  <si>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</si>
  <si>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</si>
  <si>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</si>
  <si>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</si>
  <si>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</si>
  <si>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</si>
  <si>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</si>
  <si>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</si>
  <si>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</si>
  <si>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</si>
  <si>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</si>
  <si>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</si>
  <si>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</si>
  <si>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</si>
  <si>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</si>
  <si>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</si>
  <si>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</si>
  <si>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</si>
  <si>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</si>
  <si>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</si>
  <si>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</si>
  <si>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</si>
  <si>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</si>
  <si>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</si>
  <si>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</si>
  <si>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</si>
  <si>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</si>
  <si>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</si>
  <si>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</si>
  <si>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</si>
  <si>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</si>
  <si>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</si>
  <si>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</si>
  <si>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</si>
  <si>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</si>
  <si>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</si>
  <si>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</si>
  <si>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</si>
  <si>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</si>
  <si>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</si>
  <si>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</si>
  <si>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</si>
  <si>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</si>
  <si>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</si>
  <si>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</si>
  <si>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</si>
  <si>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</si>
  <si>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</si>
  <si>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</si>
  <si>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</si>
  <si>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</si>
  <si>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</si>
  <si>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</si>
  <si>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</si>
  <si>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</si>
  <si>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</si>
  <si>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</si>
  <si>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</si>
  <si>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</si>
  <si>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</si>
  <si>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</si>
  <si>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</si>
  <si>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</si>
  <si>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</si>
  <si>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</si>
  <si>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</si>
  <si>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</si>
  <si>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</si>
  <si>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</si>
  <si>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</si>
  <si>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</si>
  <si>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</si>
  <si>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</si>
  <si>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</si>
  <si>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</si>
  <si>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</si>
  <si>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</si>
  <si>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</si>
  <si>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</si>
  <si>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</si>
  <si>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</si>
  <si>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</si>
  <si>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</si>
  <si>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</si>
  <si>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</si>
  <si>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</si>
  <si>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</si>
  <si>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</si>
  <si>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</si>
  <si>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</si>
  <si>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</si>
  <si>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</si>
  <si>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</si>
  <si>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</si>
  <si>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</si>
  <si>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</si>
  <si>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</si>
  <si>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</si>
  <si>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</si>
  <si>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</si>
  <si>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</si>
  <si>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</si>
  <si>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</si>
  <si>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</si>
  <si>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</si>
  <si>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</si>
  <si>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</si>
  <si>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</si>
  <si>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</si>
  <si>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</si>
  <si>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</si>
  <si>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</si>
  <si>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</si>
  <si>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</si>
  <si>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</si>
  <si>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</si>
  <si>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</si>
  <si>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</si>
  <si>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</si>
  <si>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</si>
  <si>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</si>
  <si>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</si>
  <si>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</si>
  <si>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</si>
  <si>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</si>
  <si>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</si>
  <si>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</si>
  <si>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</si>
  <si>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</si>
  <si>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</si>
  <si>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</si>
  <si>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</si>
  <si>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</si>
  <si>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</si>
  <si>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</si>
  <si>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</si>
  <si>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</si>
  <si>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</si>
  <si>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</si>
  <si>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</si>
  <si>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</si>
  <si>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</si>
  <si>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</si>
  <si>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</si>
  <si>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</si>
  <si>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</si>
  <si>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</si>
  <si>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</si>
  <si>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</si>
  <si>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</si>
  <si>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</si>
  <si>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</si>
  <si>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</si>
  <si>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</si>
  <si>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</si>
  <si>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</si>
  <si>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</si>
  <si>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</si>
  <si>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</si>
  <si>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</si>
  <si>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</si>
  <si>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</si>
  <si>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</si>
  <si>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</si>
  <si>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</si>
  <si>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</si>
  <si>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</si>
  <si>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</si>
  <si>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</si>
  <si>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</si>
  <si>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</si>
  <si>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</si>
  <si>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</si>
  <si>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</si>
  <si>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</si>
  <si>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</si>
  <si>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</si>
  <si>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</si>
  <si>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</si>
  <si>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</si>
  <si>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</si>
  <si>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</si>
  <si>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</si>
  <si>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</si>
  <si>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</si>
  <si>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</si>
  <si>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</si>
  <si>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</si>
  <si>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</si>
  <si>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</si>
  <si>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</si>
  <si>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</si>
  <si>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</si>
  <si>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</si>
  <si>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</si>
  <si>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</si>
  <si>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</si>
  <si>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</si>
  <si>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</si>
  <si>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</si>
  <si>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</si>
  <si>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</si>
  <si>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</si>
  <si>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</si>
  <si>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</si>
  <si>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</si>
  <si>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</si>
  <si>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</si>
  <si>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</si>
  <si>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</si>
  <si>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</si>
  <si>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</si>
  <si>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</si>
  <si>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</si>
  <si>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</si>
  <si>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</si>
  <si>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</si>
  <si>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</si>
  <si>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</si>
  <si>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</si>
  <si>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</si>
  <si>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</si>
  <si>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</si>
  <si>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</si>
  <si>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</si>
  <si>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</si>
  <si>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</si>
  <si>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</si>
  <si>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</si>
  <si>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</si>
  <si>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</si>
  <si>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</si>
  <si>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</si>
  <si>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</si>
  <si>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</si>
  <si>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</si>
  <si>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</si>
  <si>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</si>
  <si>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</si>
  <si>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</si>
  <si>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</si>
  <si>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</si>
  <si>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</si>
  <si>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</si>
  <si>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</si>
  <si>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</si>
  <si>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</si>
  <si>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</si>
  <si>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</si>
  <si>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</si>
  <si>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</si>
  <si>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</si>
  <si>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</si>
  <si>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</si>
  <si>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</si>
  <si>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</si>
  <si>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</si>
  <si>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</si>
  <si>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</si>
  <si>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</si>
  <si>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</si>
  <si>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</si>
  <si>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</si>
  <si>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</si>
  <si>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</si>
  <si>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</si>
  <si>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</si>
  <si>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</si>
  <si>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</si>
  <si>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</si>
  <si>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</si>
  <si>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</si>
  <si>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</si>
  <si>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</si>
  <si>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</si>
  <si>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</si>
  <si>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</si>
  <si>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</si>
  <si>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</si>
  <si>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</si>
  <si>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</si>
  <si>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</si>
  <si>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</si>
  <si>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</si>
  <si>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</si>
  <si>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</si>
  <si>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</si>
  <si>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</si>
  <si>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</si>
  <si>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</si>
  <si>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</si>
  <si>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</si>
  <si>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</si>
  <si>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</si>
  <si>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</si>
  <si>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</si>
  <si>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</si>
  <si>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</si>
  <si>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</si>
  <si>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</si>
  <si>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</si>
  <si>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</si>
  <si>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</si>
  <si>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</si>
  <si>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</si>
  <si>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</si>
  <si>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</si>
  <si>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</si>
  <si>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</si>
  <si>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</si>
  <si>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</si>
  <si>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</si>
  <si>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</si>
  <si>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</si>
  <si>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</si>
  <si>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</si>
  <si>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</si>
  <si>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</si>
  <si>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</si>
  <si>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</si>
  <si>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</si>
  <si>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</si>
  <si>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</si>
  <si>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</si>
  <si>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</si>
  <si>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</si>
  <si>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</si>
  <si>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</si>
  <si>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</si>
  <si>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</si>
  <si>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</si>
  <si>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</si>
  <si>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</si>
  <si>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</si>
  <si>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</si>
  <si>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</si>
  <si>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</si>
  <si>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</si>
  <si>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</si>
  <si>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</si>
  <si>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</si>
  <si>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</si>
  <si>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</si>
  <si>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</si>
  <si>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</si>
  <si>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</si>
  <si>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</si>
  <si>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</si>
  <si>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</si>
  <si>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</si>
  <si>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</si>
  <si>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</si>
  <si>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</si>
  <si>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</si>
  <si>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</si>
  <si>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</si>
  <si>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</si>
  <si>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</si>
  <si>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</si>
  <si>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</si>
  <si>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</si>
  <si>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</si>
  <si>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</si>
  <si>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</si>
  <si>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</si>
  <si>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</si>
  <si>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</si>
  <si>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</si>
  <si>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</si>
  <si>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</si>
  <si>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</si>
  <si>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</si>
  <si>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</si>
  <si>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</si>
  <si>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</si>
  <si>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</si>
  <si>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</si>
  <si>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</si>
  <si>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</si>
  <si>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</si>
  <si>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</si>
  <si>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</si>
  <si>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</si>
  <si>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</si>
  <si>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</si>
  <si>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</si>
  <si>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</si>
  <si>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</si>
  <si>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</si>
  <si>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</si>
  <si>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</si>
  <si>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</si>
  <si>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</si>
  <si>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</si>
  <si>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</si>
  <si>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</si>
  <si>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</si>
  <si>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</si>
  <si>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</si>
  <si>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</si>
  <si>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</si>
  <si>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</si>
  <si>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</si>
  <si>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</si>
  <si>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</si>
  <si>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</si>
  <si>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</si>
  <si>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</si>
  <si>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</si>
  <si>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</si>
  <si>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</si>
  <si>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</si>
  <si>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</si>
  <si>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</si>
  <si>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</si>
  <si>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</si>
  <si>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</si>
  <si>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</si>
  <si>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</si>
  <si>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</si>
  <si>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</si>
  <si>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</si>
  <si>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</si>
  <si>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</si>
  <si>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</si>
  <si>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</si>
  <si>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</si>
  <si>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</si>
  <si>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</si>
  <si>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</si>
  <si>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</si>
  <si>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</si>
  <si>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</si>
  <si>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</si>
  <si>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</si>
  <si>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</si>
  <si>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</si>
  <si>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</si>
  <si>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</si>
  <si>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</si>
  <si>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</si>
  <si>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</si>
  <si>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</si>
  <si>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</si>
  <si>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</si>
  <si>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</si>
  <si>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</si>
  <si>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</si>
  <si>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</si>
  <si>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</si>
  <si>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</si>
  <si>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</si>
  <si>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</si>
  <si>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</si>
  <si>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</si>
  <si>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</si>
  <si>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</si>
  <si>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</si>
  <si>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</si>
  <si>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</si>
  <si>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</si>
  <si>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</si>
  <si>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</si>
  <si>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</si>
  <si>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</si>
  <si>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</si>
  <si>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</si>
  <si>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</si>
  <si>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</si>
  <si>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</si>
  <si>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</si>
  <si>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</si>
  <si>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</si>
  <si>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</si>
  <si>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</si>
  <si>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</si>
  <si>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</si>
  <si>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</si>
  <si>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</si>
  <si>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</si>
  <si>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</si>
  <si>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</si>
  <si>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</si>
  <si>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</si>
  <si>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</si>
  <si>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</si>
  <si>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</si>
  <si>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</si>
  <si>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</si>
  <si>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</si>
  <si>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</si>
  <si>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</si>
  <si>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</si>
  <si>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</si>
  <si>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</si>
  <si>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</si>
  <si>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</si>
  <si>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</si>
  <si>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</si>
  <si>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</si>
  <si>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</si>
  <si>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</si>
  <si>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</si>
  <si>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</si>
  <si>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</si>
  <si>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</si>
  <si>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</si>
  <si>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</si>
  <si>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</si>
  <si>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</si>
  <si>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</si>
  <si>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</si>
  <si>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</si>
  <si>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</si>
  <si>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</si>
  <si>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</si>
  <si>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</si>
  <si>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</si>
  <si>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</si>
  <si>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</si>
  <si>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</si>
  <si>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</si>
  <si>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</si>
  <si>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</si>
  <si>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</si>
  <si>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</si>
  <si>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</si>
  <si>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</si>
  <si>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</si>
  <si>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</si>
  <si>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</si>
  <si>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</si>
  <si>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</si>
  <si>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</si>
  <si>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</si>
  <si>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</si>
  <si>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</si>
  <si>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</si>
  <si>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</si>
  <si>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</si>
  <si>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</si>
  <si>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</si>
  <si>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</si>
  <si>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</si>
  <si>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</si>
  <si>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</si>
  <si>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</si>
  <si>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</si>
  <si>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</si>
  <si>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</si>
  <si>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</si>
  <si>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</si>
  <si>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</si>
  <si>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</si>
  <si>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</si>
  <si>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</si>
  <si>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</si>
  <si>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</si>
  <si>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</si>
  <si>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</si>
  <si>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</si>
  <si>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</si>
  <si>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</si>
  <si>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</si>
  <si>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</si>
  <si>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</si>
  <si>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</si>
  <si>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</si>
  <si>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</si>
  <si>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</si>
  <si>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</si>
  <si>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</si>
  <si>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</si>
  <si>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</si>
  <si>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</si>
  <si>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</si>
  <si>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</si>
  <si>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</si>
  <si>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</si>
  <si>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</si>
  <si>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</si>
  <si>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</si>
  <si>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</si>
  <si>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</si>
  <si>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</si>
  <si>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</si>
  <si>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</si>
  <si>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</si>
  <si>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</si>
  <si>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</si>
  <si>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</si>
  <si>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</si>
  <si>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</si>
  <si>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</si>
  <si>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</si>
  <si>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</si>
  <si>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</si>
  <si>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</si>
  <si>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</si>
  <si>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</si>
  <si>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</si>
  <si>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</si>
  <si>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</si>
  <si>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</si>
  <si>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</si>
  <si>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</si>
  <si>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</si>
  <si>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</si>
  <si>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</si>
  <si>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</si>
  <si>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</si>
  <si>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</si>
  <si>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</si>
  <si>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</si>
  <si>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</si>
  <si>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</si>
  <si>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</si>
  <si>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</si>
  <si>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</si>
  <si>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</si>
  <si>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</si>
  <si>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</si>
  <si>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</si>
  <si>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</si>
  <si>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</si>
  <si>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</si>
  <si>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</si>
  <si>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</si>
  <si>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</si>
  <si>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</si>
  <si>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</si>
  <si>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</si>
  <si>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</si>
  <si>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</si>
  <si>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</si>
  <si>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</si>
  <si>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</si>
  <si>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</si>
  <si>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</si>
  <si>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</si>
  <si>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</si>
  <si>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</si>
  <si>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</si>
  <si>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</si>
  <si>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</si>
  <si>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</si>
  <si>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</si>
  <si>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</si>
  <si>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</si>
  <si>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</si>
  <si>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</si>
  <si>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</si>
  <si>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</si>
  <si>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</si>
  <si>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</si>
  <si>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</si>
  <si>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</si>
  <si>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</si>
  <si>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</si>
  <si>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</si>
  <si>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</si>
  <si>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</si>
  <si>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</si>
  <si>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</si>
  <si>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</si>
  <si>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</si>
  <si>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</si>
  <si>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</si>
  <si>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</si>
  <si>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</si>
  <si>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</si>
  <si>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</si>
  <si>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</si>
  <si>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</si>
  <si>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</si>
  <si>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</si>
  <si>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</si>
  <si>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</si>
  <si>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</si>
  <si>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</si>
  <si>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</si>
  <si>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</si>
  <si>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</si>
  <si>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</si>
  <si>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</si>
  <si>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</si>
  <si>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</si>
  <si>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</si>
  <si>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</si>
  <si>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</si>
  <si>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</si>
  <si>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</si>
  <si>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</si>
  <si>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</si>
  <si>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</si>
  <si>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</si>
  <si>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</si>
  <si>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</si>
  <si>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</si>
  <si>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</si>
  <si>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</si>
  <si>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</si>
  <si>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</si>
  <si>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</si>
  <si>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</si>
  <si>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</si>
  <si>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</si>
  <si>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</si>
  <si>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</si>
  <si>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</si>
  <si>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</si>
  <si>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</si>
  <si>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</si>
  <si>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</si>
  <si>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</si>
  <si>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</si>
  <si>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</si>
  <si>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</si>
  <si>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</si>
  <si>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</si>
  <si>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</si>
  <si>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</si>
  <si>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</si>
  <si>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</si>
  <si>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</si>
  <si>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</si>
  <si>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</si>
  <si>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</si>
  <si>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</si>
  <si>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</si>
  <si>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</si>
  <si>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</si>
  <si>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</si>
  <si>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</si>
  <si>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</si>
  <si>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</si>
  <si>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</si>
  <si>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</si>
  <si>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</si>
  <si>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</si>
  <si>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</si>
  <si>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</si>
  <si>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</si>
  <si>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</si>
  <si>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</si>
  <si>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</si>
  <si>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</si>
  <si>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</si>
  <si>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</si>
  <si>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</si>
  <si>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</si>
  <si>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</si>
  <si>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</si>
  <si>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</si>
  <si>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</si>
  <si>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</si>
  <si>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</si>
  <si>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</si>
  <si>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</si>
  <si>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</si>
  <si>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</si>
  <si>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</si>
  <si>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</si>
  <si>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</si>
  <si>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</si>
  <si>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</si>
  <si>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</si>
  <si>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</si>
  <si>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</si>
  <si>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</si>
  <si>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</si>
  <si>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</si>
  <si>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</si>
  <si>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</si>
  <si>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</si>
  <si>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</si>
  <si>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</si>
  <si>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</si>
  <si>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</si>
  <si>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</si>
  <si>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</si>
  <si>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</si>
  <si>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</si>
  <si>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</si>
  <si>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</si>
  <si>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</si>
  <si>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</si>
  <si>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</si>
  <si>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</si>
  <si>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</si>
  <si>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</si>
  <si>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</si>
  <si>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</si>
  <si>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</si>
  <si>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</si>
  <si>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</si>
  <si>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</si>
  <si>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</si>
  <si>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</si>
  <si>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</si>
  <si>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</si>
  <si>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</si>
  <si>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</si>
  <si>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</si>
  <si>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</si>
  <si>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</si>
  <si>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</si>
  <si>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</si>
  <si>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</si>
  <si>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</si>
  <si>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</si>
  <si>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</si>
  <si>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</si>
  <si>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</si>
  <si>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</si>
  <si>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</si>
  <si>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</si>
  <si>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</si>
  <si>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</si>
  <si>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</si>
  <si>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</si>
  <si>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</si>
  <si>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</si>
  <si>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</si>
  <si>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</si>
  <si>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</si>
  <si>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</si>
  <si>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</si>
  <si>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</si>
  <si>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</si>
  <si>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</si>
  <si>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</si>
  <si>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</si>
  <si>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</si>
  <si>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</si>
  <si>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</si>
  <si>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</si>
  <si>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</si>
  <si>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</si>
  <si>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</si>
  <si>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</si>
  <si>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</si>
  <si>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</si>
  <si>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</si>
  <si>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</si>
  <si>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</si>
  <si>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</si>
  <si>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</si>
  <si>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</si>
  <si>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</si>
  <si>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</si>
  <si>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</si>
  <si>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</si>
  <si>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</si>
  <si>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</si>
  <si>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</si>
  <si>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</si>
  <si>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</si>
  <si>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</si>
  <si>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</si>
  <si>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</si>
  <si>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</si>
  <si>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</si>
  <si>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</si>
  <si>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</si>
  <si>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</si>
  <si>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</si>
  <si>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</si>
  <si>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</si>
  <si>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</si>
  <si>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</si>
  <si>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</si>
  <si>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</si>
  <si>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</si>
  <si>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</si>
  <si>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</si>
  <si>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</si>
  <si>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</si>
  <si>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</si>
  <si>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</si>
  <si>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</si>
  <si>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</si>
  <si>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</si>
  <si>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</si>
  <si>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</si>
  <si>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</si>
  <si>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</si>
  <si>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</si>
  <si>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</si>
  <si>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</si>
  <si>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</si>
  <si>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</si>
  <si>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</si>
  <si>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</si>
  <si>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</si>
  <si>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</si>
  <si>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</si>
  <si>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</si>
  <si>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</si>
  <si>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</si>
  <si>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</si>
  <si>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</si>
  <si>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</si>
  <si>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</si>
  <si>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</si>
  <si>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</si>
  <si>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</si>
  <si>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</si>
  <si>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</si>
  <si>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</si>
  <si>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</si>
  <si>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</si>
  <si>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</si>
  <si>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</si>
  <si>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</si>
  <si>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</si>
  <si>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</si>
  <si>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</si>
  <si>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</si>
  <si>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</si>
  <si>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</si>
  <si>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</si>
  <si>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</si>
  <si>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</si>
  <si>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</si>
  <si>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</si>
  <si>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</si>
  <si>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</si>
  <si>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</si>
  <si>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</si>
  <si>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</si>
  <si>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</si>
  <si>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</si>
  <si>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</si>
  <si>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</si>
  <si>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</si>
  <si>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</si>
  <si>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</si>
  <si>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</si>
  <si>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</si>
  <si>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</si>
  <si>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</si>
  <si>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</si>
  <si>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</si>
  <si>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</si>
  <si>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</si>
  <si>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</si>
  <si>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</si>
  <si>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</si>
  <si>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</si>
  <si>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</si>
  <si>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</si>
  <si>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</si>
  <si>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</si>
  <si>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</si>
  <si>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</si>
  <si>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</si>
  <si>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</si>
  <si>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</si>
  <si>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</si>
  <si>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</si>
  <si>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</si>
  <si>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</si>
  <si>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</si>
  <si>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</si>
  <si>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</si>
  <si>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</si>
  <si>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</si>
  <si>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</si>
  <si>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</si>
  <si>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</si>
  <si>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</si>
  <si>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</si>
  <si>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</si>
  <si>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</si>
  <si>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</si>
  <si>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</si>
  <si>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</si>
  <si>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</si>
  <si>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</si>
  <si>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</si>
  <si>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</si>
  <si>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</si>
  <si>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</si>
  <si>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</si>
  <si>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</si>
  <si>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</si>
  <si>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</si>
  <si>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</si>
  <si>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</si>
  <si>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</si>
  <si>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</si>
  <si>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</si>
  <si>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</si>
  <si>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</si>
  <si>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</si>
  <si>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</si>
  <si>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</si>
  <si>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</si>
  <si>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</si>
  <si>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</si>
  <si>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</si>
  <si>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</si>
  <si>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</si>
  <si>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</si>
  <si>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</si>
  <si>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</si>
  <si>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</si>
  <si>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</si>
  <si>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</si>
  <si>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</si>
  <si>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</si>
  <si>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</si>
  <si>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</si>
  <si>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</si>
  <si>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</si>
  <si>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</si>
  <si>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</si>
  <si>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</si>
  <si>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</si>
  <si>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</si>
  <si>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</si>
  <si>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</si>
  <si>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</si>
  <si>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</si>
  <si>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</si>
  <si>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</si>
  <si>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</si>
  <si>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</si>
  <si>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</si>
  <si>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</si>
  <si>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</si>
  <si>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</si>
  <si>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</si>
  <si>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</si>
  <si>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</si>
  <si>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</si>
  <si>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</si>
  <si>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</si>
  <si>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</si>
  <si>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</si>
  <si>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</si>
  <si>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</si>
  <si>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</si>
  <si>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</si>
  <si>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</si>
  <si>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</si>
  <si>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</si>
  <si>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</si>
  <si>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</si>
  <si>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</si>
  <si>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</si>
  <si>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</si>
  <si>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</si>
  <si>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</si>
  <si>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</si>
  <si>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</si>
  <si>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</si>
  <si>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</si>
  <si>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</si>
  <si>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</si>
  <si>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</si>
  <si>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</si>
  <si>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</si>
  <si>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</si>
  <si>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</si>
  <si>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</si>
  <si>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</si>
  <si>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</si>
  <si>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</si>
  <si>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</si>
  <si>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</si>
  <si>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</si>
  <si>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</si>
  <si>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</si>
  <si>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</si>
  <si>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</si>
  <si>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</si>
  <si>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</si>
  <si>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</si>
  <si>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</si>
  <si>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</si>
  <si>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</si>
  <si>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</si>
  <si>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</si>
  <si>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</si>
  <si>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</si>
  <si>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</si>
  <si>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</si>
  <si>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</si>
  <si>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</si>
  <si>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</si>
  <si>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</si>
  <si>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</si>
  <si>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</si>
  <si>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</si>
  <si>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</si>
  <si>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</si>
  <si>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</si>
  <si>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</si>
  <si>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</si>
  <si>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</si>
  <si>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</si>
  <si>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</si>
  <si>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</si>
  <si>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</si>
  <si>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</si>
  <si>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</si>
  <si>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</si>
  <si>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</si>
  <si>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</si>
  <si>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</si>
  <si>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</si>
  <si>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</si>
  <si>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</si>
  <si>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</si>
  <si>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</si>
  <si>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</si>
  <si>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</si>
  <si>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</si>
  <si>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</si>
  <si>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</si>
  <si>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</si>
  <si>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</si>
  <si>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</si>
  <si>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</si>
  <si>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</si>
  <si>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</si>
  <si>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</si>
  <si>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</si>
  <si>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</si>
  <si>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</si>
  <si>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</si>
  <si>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</si>
  <si>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</si>
  <si>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</si>
  <si>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</si>
  <si>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</si>
  <si>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</si>
  <si>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</si>
  <si>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</si>
  <si>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</si>
  <si>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</si>
  <si>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</si>
  <si>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</si>
  <si>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</si>
  <si>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</si>
  <si>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</si>
  <si>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</si>
  <si>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</si>
  <si>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</si>
  <si>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</si>
  <si>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</si>
  <si>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</si>
  <si>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</si>
  <si>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</si>
  <si>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</si>
  <si>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</si>
  <si>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</si>
  <si>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</si>
  <si>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</si>
  <si>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</si>
  <si>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</si>
  <si>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</si>
  <si>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</si>
  <si>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</si>
  <si>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</si>
  <si>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</si>
  <si>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</si>
  <si>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</si>
  <si>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</si>
  <si>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</si>
  <si>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</si>
  <si>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</si>
  <si>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</si>
  <si>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</si>
  <si>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</si>
  <si>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</si>
  <si>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</si>
  <si>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</si>
  <si>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</si>
  <si>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</si>
  <si>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</si>
  <si>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</si>
  <si>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</si>
  <si>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</si>
  <si>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</si>
  <si>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</si>
  <si>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</si>
  <si>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</si>
  <si>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</si>
  <si>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</si>
  <si>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</si>
  <si>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</si>
  <si>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</si>
  <si>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</si>
  <si>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</si>
  <si>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</si>
  <si>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</si>
  <si>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</si>
  <si>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</si>
  <si>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</si>
  <si>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</si>
  <si>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</si>
  <si>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</si>
  <si>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</si>
  <si>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</si>
  <si>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</si>
  <si>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</si>
  <si>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</si>
  <si>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</si>
  <si>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</si>
  <si>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</si>
  <si>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</si>
  <si>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</si>
  <si>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</si>
  <si>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</si>
  <si>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</si>
  <si>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</si>
  <si>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</si>
  <si>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</si>
  <si>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</si>
  <si>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</si>
  <si>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</si>
  <si>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</si>
  <si>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</si>
  <si>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</si>
  <si>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</si>
  <si>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</si>
  <si>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</si>
  <si>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</si>
  <si>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</si>
  <si>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</si>
  <si>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</si>
  <si>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</si>
  <si>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</si>
  <si>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</si>
  <si>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</si>
  <si>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</si>
  <si>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</si>
  <si>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</si>
  <si>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</si>
  <si>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</si>
  <si>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</si>
  <si>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</si>
  <si>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</si>
  <si>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</si>
  <si>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</si>
  <si>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</si>
  <si>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</si>
  <si>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</si>
  <si>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</si>
  <si>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</si>
  <si>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</si>
  <si>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</si>
  <si>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</si>
  <si>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</si>
  <si>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</si>
  <si>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</si>
  <si>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</si>
  <si>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</si>
  <si>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</si>
  <si>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</si>
  <si>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</si>
  <si>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</si>
  <si>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</si>
  <si>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</si>
  <si>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</si>
  <si>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</si>
  <si>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</si>
  <si>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</si>
  <si>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</si>
  <si>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</si>
  <si>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</si>
  <si>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</si>
  <si>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</si>
  <si>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</si>
  <si>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</si>
  <si>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</si>
  <si>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</si>
  <si>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</si>
  <si>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</si>
  <si>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</si>
  <si>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</si>
  <si>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</si>
  <si>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</si>
  <si>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</si>
  <si>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</si>
  <si>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</si>
  <si>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</si>
  <si>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</si>
  <si>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</si>
  <si>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</si>
  <si>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</si>
  <si>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</si>
  <si>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</si>
  <si>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</si>
  <si>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</si>
  <si>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</si>
  <si>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</si>
  <si>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</si>
  <si>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</si>
  <si>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</si>
  <si>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</si>
  <si>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</si>
  <si>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</si>
  <si>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</si>
  <si>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</si>
  <si>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</si>
  <si>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</si>
  <si>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</si>
  <si>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</si>
  <si>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</si>
  <si>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</si>
  <si>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</si>
  <si>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</si>
  <si>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</si>
  <si>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</si>
  <si>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</si>
  <si>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</si>
  <si>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</si>
  <si>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</si>
  <si>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</si>
  <si>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</si>
  <si>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</si>
  <si>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</si>
  <si>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</si>
  <si>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</si>
  <si>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</si>
  <si>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</si>
  <si>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</si>
  <si>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</si>
  <si>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</si>
  <si>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</si>
  <si>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</si>
  <si>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</si>
  <si>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</si>
  <si>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</si>
  <si>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</si>
  <si>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</si>
  <si>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</si>
  <si>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</si>
  <si>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</si>
  <si>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</si>
  <si>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</si>
  <si>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</si>
  <si>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</si>
  <si>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</si>
  <si>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</si>
  <si>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</si>
  <si>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</si>
  <si>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</si>
  <si>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</si>
  <si>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</si>
  <si>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</si>
  <si>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</si>
  <si>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</si>
  <si>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</si>
  <si>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</si>
  <si>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</si>
  <si>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</si>
  <si>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</si>
  <si>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</si>
  <si>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</si>
  <si>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</si>
  <si>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</si>
  <si>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</si>
  <si>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</si>
  <si>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</si>
  <si>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</si>
  <si>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</si>
  <si>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</si>
  <si>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</si>
  <si>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</si>
  <si>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</si>
  <si>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</si>
  <si>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</si>
  <si>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</si>
  <si>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</si>
  <si>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</si>
  <si>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</si>
  <si>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</si>
  <si>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</si>
  <si>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</si>
  <si>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</si>
  <si>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</si>
  <si>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</si>
  <si>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</si>
  <si>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</si>
  <si>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</si>
  <si>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</si>
  <si>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</si>
  <si>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</si>
  <si>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</si>
  <si>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</si>
  <si>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</si>
  <si>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</si>
  <si>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</si>
  <si>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</si>
  <si>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</si>
  <si>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</si>
  <si>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</si>
  <si>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</si>
  <si>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</si>
  <si>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</si>
  <si>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</si>
  <si>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</si>
  <si>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</si>
  <si>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</si>
  <si>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</si>
  <si>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</si>
  <si>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</si>
  <si>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</si>
  <si>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</si>
  <si>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</si>
  <si>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</si>
  <si>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</si>
  <si>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</si>
  <si>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</si>
  <si>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</si>
  <si>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</si>
  <si>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</si>
  <si>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</si>
  <si>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</si>
  <si>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</si>
  <si>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</si>
  <si>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</si>
  <si>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</si>
  <si>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</si>
  <si>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</si>
  <si>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</si>
  <si>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</si>
  <si>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</si>
  <si>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</si>
  <si>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</si>
  <si>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</si>
  <si>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</si>
  <si>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</si>
  <si>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</si>
  <si>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</si>
  <si>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</si>
  <si>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</si>
  <si>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</si>
  <si>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</si>
  <si>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</si>
  <si>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</si>
  <si>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</si>
  <si>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</si>
  <si>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</si>
  <si>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</si>
  <si>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</si>
  <si>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</si>
  <si>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</si>
  <si>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</si>
  <si>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</si>
  <si>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</si>
  <si>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</si>
  <si>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</si>
  <si>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</si>
  <si>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</si>
  <si>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</si>
  <si>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</si>
  <si>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</si>
  <si>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</si>
  <si>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</si>
  <si>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</si>
  <si>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</si>
  <si>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</si>
  <si>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</si>
  <si>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</si>
  <si>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</si>
  <si>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</si>
  <si>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</si>
  <si>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</si>
  <si>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</si>
  <si>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</si>
  <si>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</si>
  <si>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</si>
  <si>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</si>
  <si>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</si>
  <si>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</si>
  <si>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</si>
  <si>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</si>
  <si>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</si>
  <si>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</si>
  <si>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</si>
  <si>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</si>
  <si>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</si>
  <si>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</si>
  <si>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</si>
  <si>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</si>
  <si>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</si>
  <si>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</si>
  <si>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</si>
  <si>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</si>
  <si>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</si>
  <si>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</si>
  <si>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</si>
  <si>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</si>
  <si>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</si>
  <si>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</si>
  <si>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</si>
  <si>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</si>
  <si>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</si>
  <si>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</si>
  <si>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</si>
  <si>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</si>
  <si>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</si>
  <si>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</si>
  <si>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</si>
  <si>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</si>
  <si>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</si>
  <si>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</si>
  <si>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</si>
  <si>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</si>
  <si>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</si>
  <si>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</si>
  <si>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</si>
  <si>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</si>
  <si>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</si>
  <si>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</si>
  <si>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</si>
  <si>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</si>
  <si>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</si>
  <si>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</si>
  <si>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</si>
  <si>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</si>
  <si>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</si>
  <si>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</si>
  <si>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</si>
  <si>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</si>
  <si>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</si>
  <si>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</si>
  <si>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</si>
  <si>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</si>
  <si>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</si>
  <si>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</si>
  <si>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</si>
  <si>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</si>
  <si>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</si>
  <si>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</si>
  <si>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</si>
  <si>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</si>
  <si>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</si>
  <si>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</si>
  <si>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</si>
  <si>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</si>
  <si>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</si>
  <si>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</si>
  <si>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</si>
  <si>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</si>
  <si>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</si>
  <si>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</si>
  <si>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</si>
  <si>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</si>
  <si>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</si>
  <si>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</si>
  <si>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</si>
  <si>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</si>
  <si>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</si>
  <si>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</si>
  <si>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</si>
  <si>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</si>
  <si>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</si>
  <si>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</si>
  <si>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</si>
  <si>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</si>
  <si>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</si>
  <si>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</si>
  <si>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</si>
  <si>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</si>
  <si>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</si>
  <si>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</si>
  <si>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</si>
  <si>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</si>
  <si>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</si>
  <si>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</si>
  <si>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</si>
  <si>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</si>
  <si>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</si>
  <si>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</si>
  <si>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</si>
  <si>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</si>
  <si>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</si>
  <si>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</si>
  <si>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</si>
  <si>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</si>
  <si>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</si>
  <si>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</si>
  <si>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</si>
  <si>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</si>
  <si>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</si>
  <si>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</si>
  <si>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</si>
  <si>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</si>
  <si>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</si>
  <si>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</si>
  <si>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</si>
  <si>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</si>
  <si>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</si>
  <si>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</si>
  <si>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</si>
  <si>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</si>
  <si>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</si>
  <si>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</si>
  <si>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</si>
  <si>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</si>
  <si>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</si>
  <si>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</si>
  <si>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</si>
  <si>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</si>
  <si>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</si>
  <si>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</si>
  <si>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</si>
  <si>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</si>
  <si>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</si>
  <si>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</si>
  <si>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</si>
  <si>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</si>
  <si>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</si>
  <si>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</si>
  <si>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</si>
  <si>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</si>
  <si>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</si>
  <si>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</si>
  <si>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</si>
  <si>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</si>
  <si>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</si>
  <si>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</si>
  <si>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</si>
  <si>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</si>
  <si>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</si>
  <si>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</si>
  <si>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</si>
  <si>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</si>
  <si>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</si>
  <si>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</si>
  <si>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</si>
  <si>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</si>
  <si>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</si>
  <si>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</si>
  <si>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</si>
  <si>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</si>
  <si>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</si>
  <si>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</si>
  <si>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</si>
  <si>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</si>
  <si>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</si>
  <si>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</si>
  <si>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</si>
  <si>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</si>
  <si>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</si>
  <si>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</si>
  <si>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</si>
  <si>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</si>
  <si>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</si>
  <si>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</si>
  <si>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</si>
  <si>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</si>
  <si>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</si>
  <si>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</si>
  <si>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</si>
  <si>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</si>
  <si>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</si>
  <si>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</si>
  <si>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</si>
  <si>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</si>
  <si>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</si>
  <si>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</si>
  <si>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</si>
  <si>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</si>
  <si>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</si>
  <si>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</si>
  <si>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</si>
  <si>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</si>
  <si>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</si>
  <si>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</si>
  <si>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</si>
  <si>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</si>
  <si>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</si>
  <si>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</si>
  <si>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</si>
  <si>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</si>
  <si>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</si>
  <si>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</si>
  <si>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</si>
  <si>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</si>
  <si>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</si>
  <si>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</si>
  <si>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</si>
  <si>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</si>
  <si>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</si>
  <si>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</si>
  <si>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</si>
  <si>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</si>
  <si>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</si>
  <si>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</si>
  <si>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</si>
  <si>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</si>
  <si>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</si>
  <si>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</si>
  <si>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</si>
  <si>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</si>
  <si>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</si>
  <si>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</si>
  <si>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</si>
  <si>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</si>
  <si>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</si>
  <si>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</si>
  <si>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</si>
  <si>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</si>
  <si>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</si>
  <si>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</si>
  <si>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</si>
  <si>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</si>
  <si>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</si>
  <si>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</si>
  <si>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</si>
  <si>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</si>
  <si>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</si>
  <si>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</si>
  <si>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</si>
  <si>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</si>
  <si>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</si>
  <si>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</si>
  <si>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</si>
  <si>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</si>
  <si>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</si>
  <si>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</si>
  <si>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</si>
  <si>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</si>
  <si>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</si>
  <si>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</si>
  <si>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</si>
  <si>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</si>
  <si>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</si>
  <si>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</si>
  <si>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</si>
  <si>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</si>
  <si>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</si>
  <si>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</si>
  <si>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</si>
  <si>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</si>
  <si>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</si>
  <si>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</si>
  <si>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</si>
  <si>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</si>
  <si>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</si>
  <si>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</si>
  <si>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</si>
  <si>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</si>
  <si>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</si>
  <si>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</si>
  <si>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</si>
  <si>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</si>
  <si>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</si>
  <si>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</si>
  <si>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</si>
  <si>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</si>
  <si>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</si>
  <si>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</si>
  <si>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</si>
  <si>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</si>
  <si>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</si>
  <si>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</si>
  <si>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</si>
  <si>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</si>
  <si>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</si>
  <si>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</si>
  <si>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</si>
  <si>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</si>
  <si>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</si>
  <si>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</si>
  <si>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</si>
  <si>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</si>
  <si>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</si>
  <si>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</si>
  <si>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</si>
  <si>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</si>
  <si>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</si>
  <si>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</si>
  <si>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</si>
  <si>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</si>
  <si>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</si>
  <si>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</si>
  <si>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</si>
  <si>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</si>
  <si>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</si>
  <si>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</si>
  <si>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</si>
  <si>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</si>
  <si>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</si>
  <si>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</si>
  <si>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</si>
  <si>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</si>
  <si>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</si>
  <si>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</si>
  <si>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</si>
  <si>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</si>
  <si>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</si>
  <si>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</si>
  <si>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</si>
  <si>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</si>
  <si>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</si>
  <si>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</si>
  <si>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</si>
  <si>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</si>
  <si>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</si>
  <si>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</si>
  <si>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</si>
  <si>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</si>
  <si>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</si>
  <si>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</si>
  <si>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</si>
  <si>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</si>
  <si>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</si>
  <si>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</si>
  <si>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</si>
  <si>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</si>
  <si>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</si>
  <si>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</si>
  <si>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</si>
  <si>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</si>
  <si>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</si>
  <si>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</si>
  <si>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</si>
  <si>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</si>
  <si>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</si>
  <si>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</si>
  <si>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</si>
  <si>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</si>
  <si>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</si>
  <si>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</si>
  <si>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</si>
  <si>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</si>
  <si>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</si>
  <si>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</si>
  <si>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</si>
  <si>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</si>
  <si>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</si>
  <si>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</si>
  <si>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</si>
  <si>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</si>
  <si>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</si>
  <si>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</si>
  <si>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</si>
  <si>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</si>
  <si>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</si>
  <si>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</si>
  <si>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</si>
  <si>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</si>
  <si>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</si>
  <si>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</si>
  <si>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</si>
  <si>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</si>
  <si>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</si>
  <si>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</si>
  <si>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</si>
  <si>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</si>
  <si>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</si>
  <si>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</si>
  <si>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</si>
  <si>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</si>
  <si>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</si>
  <si>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</si>
  <si>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</si>
  <si>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</si>
  <si>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</si>
  <si>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</si>
  <si>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</si>
  <si>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</si>
  <si>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</si>
  <si>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</si>
  <si>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</si>
  <si>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</si>
  <si>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</si>
  <si>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</si>
  <si>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</si>
  <si>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</si>
  <si>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</si>
  <si>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</si>
  <si>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</si>
  <si>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</si>
  <si>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</si>
  <si>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</si>
  <si>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</si>
  <si>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</si>
  <si>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</si>
  <si>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</si>
  <si>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</si>
  <si>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</si>
  <si>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</si>
  <si>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</si>
  <si>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</si>
  <si>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</si>
  <si>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</si>
  <si>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</si>
  <si>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</si>
  <si>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</si>
  <si>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</si>
  <si>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</si>
  <si>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</si>
  <si>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</si>
  <si>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</si>
  <si>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</si>
  <si>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</si>
  <si>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</si>
  <si>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</si>
  <si>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</si>
  <si>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</si>
  <si>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</si>
  <si>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</si>
  <si>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</si>
  <si>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</si>
  <si>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</si>
  <si>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</si>
  <si>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</si>
  <si>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</si>
  <si>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</si>
  <si>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</si>
  <si>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</si>
  <si>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</si>
  <si>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</si>
  <si>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</si>
  <si>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</si>
  <si>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</si>
  <si>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</si>
  <si>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</si>
  <si>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</si>
  <si>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</si>
  <si>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</si>
  <si>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</si>
  <si>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</si>
  <si>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</si>
  <si>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</si>
  <si>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</si>
  <si>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</si>
  <si>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</si>
  <si>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</si>
  <si>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</si>
  <si>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</si>
  <si>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</si>
  <si>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</si>
  <si>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</si>
  <si>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</si>
  <si>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</si>
  <si>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</si>
  <si>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</si>
  <si>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</si>
  <si>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</si>
  <si>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</si>
  <si>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</si>
  <si>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</si>
  <si>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</si>
  <si>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</si>
  <si>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</si>
  <si>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</si>
  <si>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</si>
  <si>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</si>
  <si>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</si>
  <si>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</si>
  <si>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</si>
  <si>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</si>
  <si>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</si>
  <si>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</si>
  <si>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</si>
  <si>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</si>
  <si>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</si>
  <si>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</si>
  <si>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</si>
  <si>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</si>
  <si>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</si>
  <si>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</si>
  <si>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</si>
  <si>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</si>
  <si>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</si>
  <si>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</si>
  <si>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</si>
  <si>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</si>
  <si>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</si>
  <si>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</si>
  <si>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</si>
  <si>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</si>
  <si>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</si>
  <si>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</si>
  <si>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</si>
  <si>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</si>
  <si>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</si>
  <si>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</si>
  <si>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</si>
  <si>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</si>
  <si>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</si>
  <si>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</si>
  <si>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</si>
  <si>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</si>
  <si>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</si>
  <si>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</si>
  <si>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</si>
  <si>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</si>
  <si>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</si>
  <si>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</si>
  <si>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</si>
  <si>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</si>
  <si>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</si>
  <si>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</si>
  <si>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</si>
  <si>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</si>
  <si>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</si>
  <si>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</si>
  <si>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</si>
  <si>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</si>
  <si>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</si>
  <si>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</si>
  <si>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</si>
  <si>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</si>
  <si>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</si>
  <si>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</si>
  <si>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</si>
  <si>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</si>
  <si>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</si>
  <si>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</si>
  <si>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</si>
  <si>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</si>
  <si>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</si>
  <si>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</si>
  <si>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</si>
  <si>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</si>
  <si>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</si>
  <si>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</si>
  <si>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</si>
  <si>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</si>
  <si>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</si>
  <si>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</si>
  <si>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</si>
  <si>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</si>
  <si>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</si>
  <si>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</si>
  <si>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</si>
  <si>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</si>
  <si>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</si>
  <si>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</si>
  <si>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</si>
  <si>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</si>
  <si>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</si>
  <si>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</si>
  <si>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</si>
  <si>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</si>
  <si>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</si>
  <si>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</si>
  <si>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</si>
  <si>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</si>
  <si>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</si>
  <si>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</si>
  <si>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</si>
  <si>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</si>
  <si>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</si>
  <si>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</si>
  <si>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</si>
  <si>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</si>
  <si>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</si>
  <si>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</si>
  <si>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</si>
  <si>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</si>
  <si>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</si>
  <si>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</si>
  <si>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</si>
  <si>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</si>
  <si>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</si>
  <si>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</si>
  <si>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</si>
  <si>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</si>
  <si>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</si>
  <si>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</si>
  <si>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</si>
  <si>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</si>
  <si>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</si>
  <si>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</si>
  <si>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</si>
  <si>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</si>
  <si>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</si>
  <si>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</si>
  <si>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</si>
  <si>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</si>
  <si>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</si>
  <si>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</si>
  <si>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</si>
  <si>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</si>
  <si>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</si>
  <si>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</si>
  <si>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</si>
  <si>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</si>
  <si>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</si>
  <si>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</si>
  <si>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</si>
  <si>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</si>
  <si>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</si>
  <si>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</si>
  <si>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</si>
  <si>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</si>
  <si>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</si>
  <si>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</si>
  <si>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</si>
  <si>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</si>
  <si>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</si>
  <si>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</si>
  <si>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</si>
  <si>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</si>
  <si>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</si>
  <si>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</si>
  <si>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</si>
  <si>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</si>
  <si>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</si>
  <si>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</si>
  <si>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</si>
  <si>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</si>
  <si>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</si>
  <si>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</si>
  <si>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</si>
  <si>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</si>
  <si>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</si>
  <si>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</si>
  <si>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</si>
  <si>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</si>
  <si>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</si>
  <si>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</si>
  <si>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</si>
  <si>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</si>
  <si>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</si>
  <si>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</si>
  <si>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</si>
  <si>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</si>
  <si>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</si>
  <si>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</si>
  <si>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</si>
  <si>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</si>
  <si>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</si>
  <si>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</si>
  <si>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</si>
  <si>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</si>
  <si>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</si>
  <si>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</si>
  <si>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</si>
  <si>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</si>
  <si>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</si>
  <si>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</si>
  <si>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</si>
  <si>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</si>
  <si>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</si>
  <si>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</si>
  <si>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</si>
  <si>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</si>
  <si>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</si>
  <si>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</si>
  <si>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</si>
  <si>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</si>
  <si>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</si>
  <si>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</si>
  <si>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</si>
  <si>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</si>
  <si>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</si>
  <si>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</si>
  <si>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</si>
  <si>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</si>
  <si>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</si>
  <si>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</si>
  <si>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</si>
  <si>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</si>
  <si>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</si>
  <si>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</si>
  <si>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</si>
  <si>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</si>
  <si>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</si>
  <si>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</si>
  <si>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</si>
  <si>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</si>
  <si>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</si>
  <si>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</si>
  <si>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</si>
  <si>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</si>
  <si>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</si>
  <si>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</si>
  <si>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</si>
  <si>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</si>
  <si>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</si>
  <si>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</si>
  <si>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</si>
  <si>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</si>
  <si>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</si>
  <si>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</si>
  <si>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</si>
  <si>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</si>
  <si>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</si>
  <si>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</si>
  <si>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</si>
  <si>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</si>
  <si>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</si>
  <si>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</si>
  <si>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</si>
  <si>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</si>
  <si>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</si>
  <si>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</si>
  <si>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</si>
  <si>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</si>
  <si>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</si>
  <si>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</si>
  <si>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</si>
  <si>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</si>
  <si>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</si>
  <si>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</si>
  <si>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</si>
  <si>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</si>
  <si>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</si>
  <si>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</si>
  <si>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</si>
  <si>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</si>
  <si>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</si>
  <si>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</si>
  <si>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</si>
  <si>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</si>
  <si>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</si>
  <si>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</si>
  <si>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</si>
  <si>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</si>
  <si>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</si>
  <si>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</si>
  <si>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</si>
  <si>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</si>
  <si>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</si>
  <si>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</si>
  <si>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</si>
  <si>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</si>
  <si>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</si>
  <si>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</si>
  <si>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</si>
  <si>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</si>
  <si>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</si>
  <si>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</si>
  <si>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</si>
  <si>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</si>
  <si>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</si>
  <si>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</si>
  <si>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</si>
  <si>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</si>
  <si>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</si>
  <si>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</si>
  <si>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</si>
  <si>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</si>
  <si>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</si>
  <si>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</si>
  <si>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</si>
  <si>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</si>
  <si>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</si>
  <si>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</si>
  <si>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</si>
  <si>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</si>
  <si>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</si>
  <si>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</si>
  <si>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</si>
  <si>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</si>
  <si>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</si>
  <si>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</si>
  <si>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</si>
  <si>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</si>
  <si>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</si>
  <si>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</si>
  <si>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</si>
  <si>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</si>
  <si>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</si>
  <si>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</si>
  <si>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</si>
  <si>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</si>
  <si>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</si>
  <si>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</si>
  <si>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</si>
  <si>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</si>
  <si>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</si>
  <si>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</si>
  <si>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</si>
  <si>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</si>
  <si>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</si>
  <si>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</si>
  <si>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</si>
  <si>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</si>
  <si>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</si>
  <si>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</si>
  <si>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</si>
  <si>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</si>
  <si>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</si>
  <si>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</si>
  <si>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</si>
  <si>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</si>
  <si>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</si>
  <si>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</si>
  <si>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</si>
  <si>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</si>
  <si>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</si>
  <si>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</si>
  <si>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</si>
  <si>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</si>
  <si>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</si>
  <si>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</si>
  <si>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</si>
  <si>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</si>
  <si>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</si>
  <si>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</si>
  <si>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</si>
  <si>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</si>
  <si>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</si>
  <si>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</si>
  <si>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</si>
  <si>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</si>
  <si>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</si>
  <si>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</si>
  <si>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</si>
  <si>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</si>
  <si>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</si>
  <si>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</si>
  <si>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</si>
  <si>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</si>
  <si>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</si>
  <si>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</si>
  <si>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</si>
  <si>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</si>
  <si>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</si>
  <si>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</si>
  <si>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</si>
  <si>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</si>
  <si>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</si>
  <si>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</si>
  <si>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</si>
  <si>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</si>
  <si>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</si>
  <si>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</si>
  <si>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</si>
  <si>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</si>
  <si>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</si>
  <si>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</si>
  <si>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</si>
  <si>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</si>
  <si>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</si>
  <si>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</si>
  <si>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</si>
  <si>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</si>
  <si>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</si>
  <si>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</si>
  <si>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</si>
  <si>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</si>
  <si>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</si>
  <si>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</si>
  <si>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</si>
  <si>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</si>
  <si>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</si>
  <si>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</si>
  <si>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</si>
  <si>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</si>
  <si>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</si>
  <si>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</si>
  <si>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</si>
  <si>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</si>
  <si>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</si>
  <si>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</si>
  <si>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</si>
  <si>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</si>
  <si>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</si>
  <si>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</si>
  <si>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</si>
  <si>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</si>
  <si>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</si>
  <si>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</si>
  <si>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</si>
  <si>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</si>
  <si>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</si>
  <si>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</si>
  <si>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</si>
  <si>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</si>
  <si>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</si>
  <si>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</si>
  <si>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</si>
  <si>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</si>
  <si>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</si>
  <si>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</si>
  <si>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</si>
  <si>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</si>
  <si>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</si>
  <si>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</si>
  <si>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</si>
  <si>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</si>
  <si>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</si>
  <si>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</si>
  <si>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</si>
  <si>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</si>
  <si>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</si>
  <si>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</si>
  <si>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</si>
  <si>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</si>
  <si>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</si>
  <si>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</si>
  <si>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</si>
  <si>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</si>
  <si>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</si>
  <si>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</si>
  <si>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</si>
  <si>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</si>
  <si>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</si>
  <si>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</si>
  <si>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</si>
  <si>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</si>
  <si>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</si>
  <si>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</si>
  <si>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</si>
  <si>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</si>
  <si>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</si>
  <si>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</si>
  <si>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</si>
  <si>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</si>
  <si>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</si>
  <si>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</si>
  <si>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</si>
  <si>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</si>
  <si>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</si>
  <si>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</si>
  <si>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</si>
  <si>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</si>
  <si>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</si>
  <si>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</si>
  <si>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</si>
  <si>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</si>
  <si>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</si>
  <si>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</si>
  <si>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</si>
  <si>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</si>
  <si>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</si>
  <si>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</si>
  <si>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</si>
  <si>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</si>
  <si>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</si>
  <si>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</si>
  <si>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</si>
  <si>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</si>
  <si>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</si>
  <si>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</si>
  <si>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</si>
  <si>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</si>
  <si>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</si>
  <si>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</si>
  <si>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</si>
  <si>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</si>
  <si>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</si>
  <si>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</si>
  <si>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</si>
  <si>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</si>
  <si>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</si>
  <si>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</si>
  <si>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</si>
  <si>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</si>
  <si>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</si>
  <si>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</si>
  <si>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</si>
  <si>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</si>
  <si>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</si>
  <si>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</si>
  <si>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</si>
  <si>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</si>
  <si>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</si>
  <si>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</si>
  <si>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</si>
  <si>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</si>
  <si>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</si>
  <si>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</si>
  <si>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</si>
  <si>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</si>
  <si>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</si>
  <si>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</si>
  <si>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</si>
  <si>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</si>
  <si>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</si>
  <si>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</si>
  <si>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</si>
  <si>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</si>
  <si>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</si>
  <si>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</si>
  <si>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</si>
  <si>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</si>
  <si>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</si>
  <si>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</si>
  <si>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</si>
  <si>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</si>
  <si>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</si>
  <si>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</si>
  <si>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</si>
  <si>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</si>
  <si>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</si>
  <si>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</si>
  <si>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</si>
  <si>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</si>
  <si>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</si>
  <si>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</si>
  <si>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</si>
  <si>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</si>
  <si>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</si>
  <si>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</si>
  <si>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</si>
  <si>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</si>
  <si>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</si>
  <si>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</si>
  <si>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</si>
  <si>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</si>
  <si>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</si>
  <si>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</si>
  <si>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</si>
  <si>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</si>
  <si>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</si>
  <si>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</si>
  <si>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</si>
  <si>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</si>
  <si>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</si>
  <si>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</si>
  <si>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</si>
  <si>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</si>
  <si>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</si>
  <si>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</si>
  <si>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</si>
  <si>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</si>
  <si>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</si>
  <si>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</si>
  <si>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</si>
  <si>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</si>
  <si>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</si>
  <si>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</si>
  <si>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</si>
  <si>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</si>
  <si>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</si>
  <si>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</si>
  <si>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</si>
  <si>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</si>
  <si>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</si>
  <si>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</si>
  <si>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</si>
  <si>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</si>
  <si>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</si>
  <si>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</si>
  <si>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</si>
  <si>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</si>
  <si>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</si>
  <si>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</si>
  <si>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</si>
  <si>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</si>
  <si>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</si>
  <si>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</si>
  <si>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</si>
  <si>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</si>
  <si>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</si>
  <si>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</si>
  <si>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</si>
  <si>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</si>
  <si>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</si>
  <si>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</si>
  <si>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</si>
  <si>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</si>
  <si>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</si>
  <si>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</si>
  <si>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</si>
  <si>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</si>
  <si>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</si>
  <si>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</si>
  <si>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</si>
  <si>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</si>
  <si>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</si>
  <si>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</si>
  <si>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</si>
  <si>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</si>
  <si>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</si>
  <si>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</si>
  <si>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</si>
  <si>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</si>
  <si>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</si>
  <si>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</si>
  <si>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</si>
  <si>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</si>
  <si>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</si>
  <si>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</si>
  <si>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</si>
  <si>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</si>
  <si>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</si>
  <si>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</si>
  <si>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</si>
  <si>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</si>
  <si>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</si>
  <si>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</si>
  <si>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</si>
  <si>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</si>
  <si>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</si>
  <si>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</si>
  <si>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</si>
  <si>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</si>
  <si>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</si>
  <si>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</si>
  <si>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</si>
  <si>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</si>
  <si>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</si>
  <si>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</si>
  <si>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</si>
  <si>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</si>
  <si>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</si>
  <si>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</si>
  <si>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</si>
  <si>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</si>
  <si>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</si>
  <si>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</si>
  <si>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</si>
  <si>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</si>
  <si>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</si>
  <si>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</si>
  <si>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</si>
  <si>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</si>
  <si>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</si>
  <si>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</si>
  <si>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</si>
  <si>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</si>
  <si>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</si>
  <si>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</si>
  <si>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</si>
  <si>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</si>
  <si>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</si>
  <si>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</si>
  <si>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</si>
  <si>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</si>
  <si>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</si>
  <si>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</si>
  <si>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</si>
  <si>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</si>
  <si>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</si>
  <si>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</si>
  <si>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</si>
  <si>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</si>
  <si>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</si>
  <si>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</si>
  <si>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</si>
  <si>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</si>
  <si>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</si>
  <si>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</si>
  <si>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</si>
  <si>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</si>
  <si>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</si>
  <si>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</si>
  <si>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</si>
  <si>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</si>
  <si>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</si>
  <si>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</si>
  <si>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</si>
  <si>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</si>
  <si>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</si>
  <si>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</si>
  <si>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</si>
  <si>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</si>
  <si>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</si>
  <si>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</si>
  <si>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</si>
  <si>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</si>
  <si>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</si>
  <si>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</si>
  <si>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</si>
  <si>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</si>
  <si>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</si>
  <si>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</si>
  <si>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</si>
  <si>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</si>
  <si>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</si>
  <si>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</si>
  <si>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</si>
  <si>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</si>
  <si>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</si>
  <si>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</si>
  <si>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</si>
  <si>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</si>
  <si>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</si>
  <si>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</si>
  <si>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</si>
  <si>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</si>
  <si>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</si>
  <si>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</si>
  <si>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</si>
  <si>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</si>
  <si>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</si>
  <si>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</si>
  <si>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</si>
  <si>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</si>
  <si>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</si>
  <si>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</si>
  <si>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</si>
  <si>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</si>
  <si>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</si>
  <si>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</si>
  <si>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</si>
  <si>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</si>
  <si>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</si>
  <si>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</si>
  <si>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</si>
  <si>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</si>
  <si>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</si>
  <si>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</si>
  <si>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</si>
  <si>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</si>
  <si>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</si>
  <si>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</si>
  <si>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</si>
  <si>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</si>
  <si>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</si>
  <si>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</si>
  <si>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</si>
  <si>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</si>
  <si>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</si>
  <si>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</si>
  <si>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</si>
  <si>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</si>
  <si>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</si>
  <si>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</si>
  <si>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</si>
  <si>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</si>
  <si>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</si>
  <si>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</si>
  <si>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</si>
  <si>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</si>
  <si>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</si>
  <si>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</si>
  <si>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</si>
  <si>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</si>
  <si>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</si>
  <si>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</si>
  <si>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</si>
  <si>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</si>
  <si>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</si>
  <si>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</si>
  <si>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</si>
  <si>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</si>
  <si>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</si>
  <si>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</si>
  <si>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</si>
  <si>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</si>
  <si>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</si>
  <si>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</si>
  <si>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</si>
  <si>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</si>
  <si>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</si>
  <si>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</si>
  <si>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</si>
  <si>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</si>
  <si>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</si>
  <si>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</si>
  <si>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</si>
  <si>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</si>
  <si>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</si>
  <si>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</si>
  <si>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</si>
  <si>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</si>
  <si>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</si>
  <si>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</si>
  <si>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</si>
  <si>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</si>
  <si>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</si>
  <si>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</si>
  <si>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</si>
  <si>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</si>
  <si>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</si>
  <si>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</si>
  <si>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</si>
  <si>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</si>
  <si>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</si>
  <si>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</si>
  <si>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</si>
  <si>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</si>
  <si>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</si>
  <si>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</si>
  <si>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</si>
  <si>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</si>
  <si>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</si>
  <si>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</si>
  <si>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</si>
  <si>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</si>
  <si>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</si>
  <si>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</si>
  <si>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</si>
  <si>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</si>
  <si>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</si>
  <si>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</si>
  <si>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</si>
  <si>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</si>
  <si>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</si>
  <si>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</si>
  <si>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</si>
  <si>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</si>
  <si>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</si>
  <si>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</si>
  <si>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</si>
  <si>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</si>
  <si>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</si>
  <si>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</si>
  <si>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</si>
  <si>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</si>
  <si>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</si>
  <si>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</si>
  <si>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</si>
  <si>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</si>
  <si>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</si>
  <si>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</si>
  <si>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</si>
  <si>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</si>
  <si>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</si>
  <si>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</si>
  <si>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</si>
  <si>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</si>
  <si>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</si>
  <si>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</si>
  <si>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</si>
  <si>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</si>
  <si>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</si>
  <si>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</si>
  <si>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</si>
  <si>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</si>
  <si>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</si>
  <si>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</si>
  <si>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</si>
  <si>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</si>
  <si>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</si>
  <si>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</si>
  <si>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</si>
  <si>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</si>
  <si>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</si>
  <si>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</si>
  <si>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</si>
  <si>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</si>
  <si>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</si>
  <si>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</si>
  <si>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</si>
  <si>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</si>
  <si>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</si>
  <si>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</si>
  <si>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</si>
  <si>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</si>
  <si>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</si>
  <si>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</si>
  <si>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</si>
  <si>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</si>
  <si>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</si>
  <si>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</si>
  <si>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</si>
  <si>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</si>
  <si>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</si>
  <si>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</si>
  <si>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</si>
  <si>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</si>
  <si>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</si>
  <si>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</si>
  <si>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</si>
  <si>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</si>
  <si>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</si>
  <si>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</si>
  <si>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</si>
  <si>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</si>
  <si>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</si>
  <si>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</si>
  <si>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</si>
  <si>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</si>
  <si>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</si>
  <si>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</si>
  <si>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</si>
  <si>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</si>
  <si>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</si>
  <si>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</si>
  <si>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</si>
  <si>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</si>
  <si>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</si>
  <si>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</si>
  <si>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</si>
  <si>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</si>
  <si>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</si>
  <si>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</si>
  <si>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</si>
  <si>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</si>
  <si>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</si>
  <si>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</si>
  <si>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</si>
  <si>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</si>
  <si>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</si>
  <si>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</si>
  <si>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</si>
  <si>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</si>
  <si>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</si>
  <si>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</si>
  <si>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</si>
  <si>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</si>
  <si>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</si>
  <si>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</si>
  <si>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</si>
  <si>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</si>
  <si>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</si>
  <si>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</si>
  <si>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</si>
  <si>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</si>
  <si>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</si>
  <si>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</si>
  <si>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</si>
  <si>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</si>
  <si>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</si>
  <si>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</si>
  <si>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</si>
  <si>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</si>
  <si>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</si>
  <si>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</si>
  <si>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</si>
  <si>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</si>
  <si>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</si>
  <si>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</si>
  <si>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</si>
  <si>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</si>
  <si>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</si>
  <si>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</si>
  <si>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</si>
  <si>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</si>
  <si>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</si>
  <si>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</si>
  <si>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</si>
  <si>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</si>
  <si>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</si>
  <si>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</si>
  <si>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</si>
  <si>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</si>
  <si>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</si>
  <si>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</si>
  <si>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</si>
  <si>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</si>
  <si>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</si>
  <si>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</si>
  <si>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</si>
  <si>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</si>
  <si>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</si>
  <si>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</si>
  <si>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</si>
  <si>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</si>
  <si>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</si>
  <si>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</si>
  <si>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</si>
  <si>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</si>
  <si>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</si>
  <si>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</si>
  <si>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</si>
  <si>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</si>
  <si>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</si>
  <si>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</si>
  <si>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</si>
  <si>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</si>
  <si>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</si>
  <si>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</si>
  <si>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</si>
  <si>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</si>
  <si>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</si>
  <si>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</si>
  <si>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</si>
  <si>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</si>
  <si>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</si>
  <si>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</si>
  <si>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</si>
  <si>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</si>
  <si>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</si>
  <si>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</si>
  <si>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</si>
  <si>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</si>
  <si>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</si>
  <si>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</si>
  <si>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</si>
  <si>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</si>
  <si>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</si>
  <si>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</si>
  <si>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</si>
  <si>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</si>
  <si>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</si>
  <si>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</si>
  <si>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</si>
  <si>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</si>
  <si>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</si>
  <si>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</si>
  <si>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</si>
  <si>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</si>
  <si>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</si>
  <si>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</si>
  <si>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</si>
  <si>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</si>
  <si>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</si>
  <si>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</si>
  <si>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</si>
  <si>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</si>
  <si>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</si>
  <si>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</si>
  <si>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</si>
  <si>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</si>
  <si>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</si>
  <si>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</si>
  <si>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</si>
  <si>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</si>
  <si>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</si>
  <si>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</si>
  <si>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</si>
  <si>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</si>
  <si>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</si>
  <si>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</si>
  <si>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</si>
  <si>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</si>
  <si>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</si>
  <si>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</si>
  <si>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</si>
  <si>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</si>
  <si>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</si>
  <si>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</si>
  <si>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</si>
  <si>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</si>
  <si>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</si>
  <si>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</si>
  <si>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</si>
  <si>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</si>
  <si>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</si>
  <si>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</si>
  <si>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</si>
  <si>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</si>
  <si>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</si>
  <si>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</si>
  <si>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</si>
  <si>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</si>
  <si>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</si>
  <si>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</si>
  <si>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</si>
  <si>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</si>
  <si>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</si>
  <si>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</si>
  <si>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</si>
  <si>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</si>
  <si>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</si>
  <si>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</si>
  <si>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</si>
  <si>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</si>
  <si>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</si>
  <si>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</si>
  <si>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</si>
  <si>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</si>
  <si>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</si>
  <si>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</si>
  <si>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</si>
  <si>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</si>
  <si>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</si>
  <si>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</si>
  <si>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</si>
  <si>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</si>
  <si>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</si>
  <si>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</si>
  <si>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</si>
  <si>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</si>
  <si>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</si>
  <si>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</si>
  <si>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</si>
  <si>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</si>
  <si>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</si>
  <si>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</si>
  <si>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</si>
  <si>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</si>
  <si>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</si>
  <si>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</si>
  <si>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</si>
  <si>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</si>
  <si>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</si>
  <si>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</si>
  <si>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</si>
  <si>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</si>
  <si>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</si>
  <si>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</si>
  <si>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</si>
  <si>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</si>
  <si>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</si>
  <si>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</si>
  <si>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</si>
  <si>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</si>
  <si>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</si>
  <si>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</si>
  <si>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</si>
  <si>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</si>
  <si>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</si>
  <si>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</si>
  <si>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</si>
  <si>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</si>
  <si>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</si>
  <si>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</si>
  <si>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</si>
  <si>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</si>
  <si>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</si>
  <si>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</si>
  <si>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</si>
  <si>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</si>
  <si>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</si>
  <si>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</si>
  <si>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</si>
  <si>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</si>
  <si>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</si>
  <si>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</si>
  <si>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</si>
  <si>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</si>
  <si>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</si>
  <si>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</si>
  <si>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</si>
  <si>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</si>
  <si>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</si>
  <si>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</si>
  <si>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</si>
  <si>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</si>
  <si>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</si>
  <si>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</si>
  <si>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</si>
  <si>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</si>
  <si>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</si>
  <si>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</si>
  <si>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</si>
  <si>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</si>
  <si>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</si>
  <si>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</si>
  <si>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</si>
  <si>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</si>
  <si>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</si>
  <si>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</si>
  <si>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</si>
  <si>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</si>
  <si>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</si>
  <si>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</si>
  <si>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</si>
  <si>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</si>
  <si>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</si>
  <si>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</si>
  <si>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</si>
  <si>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</si>
  <si>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</si>
  <si>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</si>
  <si>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</si>
  <si>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</si>
  <si>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</si>
  <si>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</si>
  <si>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</si>
  <si>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</si>
  <si>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</si>
  <si>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</si>
  <si>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</si>
  <si>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</si>
  <si>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</si>
  <si>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</si>
  <si>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</si>
  <si>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</si>
  <si>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</si>
  <si>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</si>
  <si>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</si>
  <si>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</si>
  <si>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</si>
  <si>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</si>
  <si>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</si>
  <si>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</si>
  <si>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</si>
  <si>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</si>
  <si>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</si>
  <si>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</si>
  <si>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</si>
  <si>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</si>
  <si>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</si>
  <si>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</si>
  <si>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</si>
  <si>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</si>
  <si>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</si>
  <si>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</si>
  <si>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</si>
  <si>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</si>
  <si>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</si>
  <si>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</si>
  <si>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</si>
  <si>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</si>
  <si>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</si>
  <si>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</si>
  <si>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</si>
  <si>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</si>
  <si>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</si>
  <si>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</si>
  <si>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</si>
  <si>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</si>
  <si>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</si>
  <si>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</si>
  <si>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</si>
  <si>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</si>
  <si>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</si>
  <si>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</si>
  <si>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</si>
  <si>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</si>
  <si>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</si>
  <si>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</si>
  <si>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</si>
  <si>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</si>
  <si>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</si>
  <si>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</si>
  <si>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</si>
  <si>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</si>
  <si>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</si>
  <si>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</si>
  <si>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</si>
  <si>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</si>
  <si>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</si>
  <si>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</si>
  <si>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</si>
  <si>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</si>
  <si>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</si>
  <si>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</si>
  <si>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</si>
  <si>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</si>
  <si>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</si>
  <si>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</si>
  <si>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</si>
  <si>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</si>
  <si>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</si>
  <si>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</si>
  <si>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</si>
  <si>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</si>
  <si>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</si>
  <si>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</si>
  <si>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</si>
  <si>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</si>
  <si>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</si>
  <si>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</si>
  <si>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</si>
  <si>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</si>
  <si>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</si>
  <si>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</si>
  <si>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</si>
  <si>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</si>
  <si>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</si>
  <si>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</si>
  <si>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</si>
  <si>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</si>
  <si>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</si>
  <si>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</si>
  <si>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</si>
  <si>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</si>
  <si>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</si>
  <si>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</si>
  <si>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</si>
  <si>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</si>
  <si>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</si>
  <si>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</si>
  <si>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</si>
  <si>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</si>
  <si>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</si>
  <si>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</si>
  <si>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</si>
  <si>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</si>
  <si>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</si>
  <si>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</si>
  <si>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</si>
  <si>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</si>
  <si>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</si>
  <si>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</si>
  <si>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</si>
  <si>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</si>
  <si>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</si>
  <si>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</si>
  <si>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</si>
  <si>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</si>
  <si>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</si>
  <si>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</si>
  <si>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</si>
  <si>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</si>
  <si>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</si>
  <si>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</si>
  <si>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</si>
  <si>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</si>
  <si>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</si>
  <si>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</si>
  <si>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</si>
  <si>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</si>
  <si>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</si>
  <si>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</si>
  <si>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</si>
  <si>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</si>
  <si>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</si>
  <si>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</si>
  <si>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</si>
  <si>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</si>
  <si>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</si>
  <si>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</si>
  <si>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</si>
  <si>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</si>
  <si>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</si>
  <si>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</si>
  <si>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</si>
  <si>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</si>
  <si>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</si>
  <si>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</si>
  <si>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</si>
  <si>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</si>
  <si>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</si>
  <si>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</si>
  <si>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</si>
  <si>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</si>
  <si>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</si>
  <si>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</si>
  <si>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</si>
  <si>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</si>
  <si>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</si>
  <si>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</si>
  <si>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</si>
  <si>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</si>
  <si>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</si>
  <si>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</si>
  <si>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</si>
  <si>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</si>
  <si>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</si>
  <si>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</si>
  <si>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</si>
  <si>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</si>
  <si>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</si>
  <si>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</si>
  <si>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</si>
  <si>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</si>
  <si>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</si>
  <si>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</si>
  <si>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</si>
  <si>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</si>
  <si>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</si>
  <si>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</si>
  <si>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</si>
  <si>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</si>
  <si>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</si>
  <si>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</si>
  <si>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</si>
  <si>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</si>
  <si>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</si>
  <si>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</si>
  <si>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</si>
  <si>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</si>
  <si>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</si>
  <si>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</si>
  <si>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</si>
  <si>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</si>
  <si>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</si>
  <si>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</si>
  <si>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</si>
  <si>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</si>
  <si>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</si>
  <si>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</si>
  <si>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</si>
  <si>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</si>
  <si>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</si>
  <si>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</si>
  <si>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</si>
  <si>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</si>
  <si>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</si>
  <si>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</si>
  <si>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</si>
  <si>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</si>
  <si>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</si>
  <si>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</si>
  <si>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</si>
  <si>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</si>
  <si>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</si>
  <si>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</si>
  <si>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</si>
  <si>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</si>
  <si>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</si>
  <si>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</si>
  <si>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</si>
  <si>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</si>
  <si>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</si>
  <si>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</si>
  <si>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</si>
  <si>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</si>
  <si>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</si>
  <si>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</si>
  <si>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</si>
  <si>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</si>
  <si>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</si>
  <si>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</si>
  <si>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</si>
  <si>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</si>
  <si>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</si>
  <si>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</si>
  <si>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</si>
  <si>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</si>
  <si>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</si>
  <si>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</si>
  <si>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</si>
  <si>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</si>
  <si>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</si>
  <si>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</si>
  <si>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</si>
  <si>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</si>
  <si>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</si>
  <si>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</si>
  <si>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</si>
  <si>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</si>
  <si>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</si>
  <si>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</si>
  <si>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</si>
  <si>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</si>
  <si>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</si>
  <si>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</si>
  <si>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</si>
  <si>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</si>
  <si>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</si>
  <si>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</si>
  <si>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</si>
  <si>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</si>
  <si>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</si>
  <si>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</si>
  <si>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</si>
  <si>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</si>
  <si>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</si>
  <si>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</si>
  <si>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</si>
  <si>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</si>
  <si>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</si>
  <si>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</si>
  <si>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</si>
  <si>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</si>
  <si>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</si>
  <si>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</si>
  <si>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</si>
  <si>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</si>
  <si>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</si>
  <si>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</si>
  <si>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</si>
  <si>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</si>
  <si>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</si>
  <si>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</si>
  <si>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</si>
  <si>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</si>
  <si>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</si>
  <si>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</si>
  <si>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</si>
  <si>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</si>
  <si>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</si>
  <si>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</si>
  <si>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</si>
  <si>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</si>
  <si>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</si>
  <si>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</si>
  <si>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</si>
  <si>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</si>
  <si>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</si>
  <si>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</si>
  <si>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</si>
  <si>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</si>
  <si>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</si>
  <si>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</si>
  <si>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</si>
  <si>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</si>
  <si>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</si>
  <si>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</si>
  <si>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</si>
  <si>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</si>
  <si>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</si>
  <si>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</si>
  <si>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</si>
  <si>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</si>
  <si>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</si>
  <si>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</si>
  <si>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</si>
  <si>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</si>
  <si>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</si>
  <si>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</si>
  <si>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</si>
  <si>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</si>
  <si>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</si>
  <si>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</si>
  <si>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</si>
  <si>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</si>
  <si>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</si>
  <si>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</si>
  <si>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</si>
  <si>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</si>
  <si>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</si>
  <si>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</si>
  <si>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</si>
  <si>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</si>
  <si>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</si>
  <si>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</si>
  <si>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</si>
  <si>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</si>
  <si>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</si>
  <si>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</si>
  <si>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</si>
  <si>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</si>
  <si>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</si>
  <si>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</si>
  <si>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</si>
  <si>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</si>
  <si>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</si>
  <si>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</si>
  <si>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</si>
  <si>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</si>
  <si>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</si>
  <si>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</si>
  <si>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</si>
  <si>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</si>
  <si>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</si>
  <si>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</si>
  <si>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</si>
  <si>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</si>
  <si>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</si>
  <si>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</si>
  <si>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</si>
  <si>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</si>
  <si>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</si>
  <si>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</si>
  <si>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</si>
  <si>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</si>
  <si>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</si>
  <si>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</si>
  <si>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</si>
  <si>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</si>
  <si>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</si>
  <si>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</si>
  <si>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</si>
  <si>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</si>
  <si>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</si>
  <si>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</si>
  <si>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</si>
  <si>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</si>
  <si>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</si>
  <si>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</si>
  <si>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</si>
  <si>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</si>
  <si>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</si>
  <si>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</si>
  <si>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</si>
  <si>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</si>
  <si>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</si>
  <si>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</si>
  <si>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</si>
  <si>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</si>
  <si>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</si>
  <si>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</si>
  <si>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</si>
  <si>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</si>
  <si>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</si>
  <si>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</si>
  <si>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</si>
  <si>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</si>
  <si>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</si>
  <si>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</si>
  <si>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</si>
  <si>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</si>
  <si>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</si>
  <si>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</si>
  <si>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</si>
  <si>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</si>
  <si>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</si>
  <si>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</si>
  <si>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</si>
  <si>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</si>
  <si>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</si>
  <si>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</si>
  <si>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</si>
  <si>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</si>
  <si>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</si>
  <si>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</si>
  <si>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</si>
  <si>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</si>
  <si>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</si>
  <si>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</si>
  <si>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</si>
  <si>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</si>
  <si>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</si>
  <si>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</si>
  <si>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</si>
  <si>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</si>
  <si>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</si>
  <si>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</si>
  <si>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</si>
  <si>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</si>
  <si>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</si>
  <si>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</si>
  <si>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</si>
  <si>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</si>
  <si>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</si>
  <si>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</si>
  <si>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</si>
  <si>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</si>
  <si>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</si>
  <si>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</si>
  <si>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</si>
  <si>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</si>
  <si>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</si>
  <si>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</si>
  <si>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</si>
  <si>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</si>
  <si>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</si>
  <si>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</si>
  <si>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</si>
  <si>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</si>
  <si>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</si>
  <si>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</si>
  <si>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</si>
  <si>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</si>
  <si>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</si>
  <si>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</si>
  <si>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</si>
  <si>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</si>
  <si>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</si>
  <si>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</si>
  <si>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</si>
  <si>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</si>
  <si>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</si>
  <si>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</si>
  <si>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</si>
  <si>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</si>
  <si>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</si>
  <si>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</si>
  <si>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</si>
  <si>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</si>
  <si>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</si>
  <si>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</si>
  <si>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</si>
  <si>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</si>
  <si>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</si>
  <si>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</si>
  <si>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</si>
  <si>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</si>
  <si>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</si>
  <si>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</si>
  <si>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</si>
  <si>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</si>
  <si>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</si>
  <si>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</si>
  <si>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</si>
  <si>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</si>
  <si>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</si>
  <si>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</si>
  <si>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</si>
  <si>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</si>
  <si>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</si>
  <si>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</si>
  <si>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</si>
  <si>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</si>
  <si>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</si>
  <si>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</si>
  <si>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</si>
  <si>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</si>
  <si>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</si>
  <si>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</si>
  <si>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</si>
  <si>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</si>
  <si>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</si>
  <si>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</si>
  <si>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</si>
  <si>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</si>
  <si>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</si>
  <si>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</si>
  <si>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</si>
  <si>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</si>
  <si>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</si>
  <si>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</si>
  <si>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</si>
  <si>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</si>
  <si>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</si>
  <si>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</si>
  <si>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</si>
  <si>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</si>
  <si>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</si>
  <si>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</si>
  <si>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</si>
  <si>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</si>
  <si>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</si>
  <si>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</si>
  <si>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</si>
  <si>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</si>
  <si>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</si>
  <si>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</si>
  <si>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</si>
  <si>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</si>
  <si>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</si>
  <si>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</si>
  <si>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</si>
  <si>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</si>
  <si>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</si>
  <si>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</si>
  <si>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</si>
  <si>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</si>
  <si>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</si>
  <si>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</si>
  <si>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</si>
  <si>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</si>
  <si>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</si>
  <si>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</si>
  <si>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</si>
  <si>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</si>
  <si>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</si>
  <si>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</si>
  <si>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</si>
  <si>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</si>
  <si>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</si>
  <si>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</si>
  <si>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</si>
  <si>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</si>
  <si>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</si>
  <si>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</si>
  <si>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</si>
  <si>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</si>
  <si>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</si>
  <si>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</si>
  <si>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</si>
  <si>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</si>
  <si>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</si>
  <si>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</si>
  <si>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</si>
  <si>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</si>
  <si>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</si>
  <si>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</si>
  <si>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</si>
  <si>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</si>
  <si>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</si>
  <si>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</si>
  <si>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</si>
  <si>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</si>
  <si>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</si>
  <si>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</si>
  <si>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</si>
  <si>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</si>
  <si>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</si>
  <si>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</si>
  <si>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</si>
  <si>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</si>
  <si>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</si>
  <si>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</si>
  <si>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</si>
  <si>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</si>
  <si>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</si>
  <si>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</si>
  <si>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</si>
  <si>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</si>
  <si>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</si>
  <si>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</si>
  <si>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</si>
  <si>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</si>
  <si>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</si>
  <si>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</si>
  <si>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</si>
  <si>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</si>
  <si>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</si>
  <si>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</si>
  <si>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</si>
  <si>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</si>
  <si>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</si>
  <si>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</si>
  <si>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</si>
  <si>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</si>
  <si>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</si>
  <si>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</si>
  <si>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</si>
  <si>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</si>
  <si>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</si>
  <si>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</si>
  <si>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</si>
  <si>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</si>
  <si>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</si>
  <si>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</si>
  <si>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</si>
  <si>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</si>
  <si>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</si>
  <si>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</si>
  <si>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</si>
  <si>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</si>
  <si>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</si>
  <si>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</si>
  <si>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</si>
  <si>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</si>
  <si>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</si>
  <si>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</si>
  <si>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</si>
  <si>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</si>
  <si>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</si>
  <si>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</si>
  <si>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</si>
  <si>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</si>
  <si>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</si>
  <si>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</si>
  <si>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</si>
  <si>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</si>
  <si>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</si>
  <si>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</si>
  <si>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</si>
  <si>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</si>
  <si>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</si>
  <si>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</si>
  <si>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</si>
  <si>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</si>
  <si>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</si>
  <si>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</si>
  <si>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</si>
  <si>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</si>
  <si>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</si>
  <si>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</si>
  <si>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</si>
  <si>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</si>
  <si>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</si>
  <si>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</si>
  <si>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</si>
  <si>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</si>
  <si>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</si>
  <si>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</si>
  <si>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</si>
  <si>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</si>
  <si>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</si>
  <si>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</si>
  <si>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</si>
  <si>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</si>
  <si>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</si>
  <si>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</si>
  <si>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</si>
  <si>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</si>
  <si>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</si>
  <si>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</si>
  <si>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</si>
  <si>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</si>
  <si>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</si>
  <si>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</si>
  <si>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</si>
  <si>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</si>
  <si>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</si>
  <si>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</si>
  <si>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</si>
  <si>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</si>
  <si>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</si>
  <si>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</si>
  <si>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</si>
  <si>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</si>
  <si>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</si>
  <si>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</si>
  <si>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</si>
  <si>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</si>
  <si>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</si>
  <si>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</si>
  <si>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</si>
  <si>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</si>
  <si>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</si>
  <si>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</si>
  <si>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</si>
  <si>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</si>
  <si>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</si>
  <si>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</si>
  <si>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</si>
  <si>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</si>
  <si>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</si>
  <si>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</si>
  <si>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</si>
  <si>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</si>
  <si>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</si>
  <si>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</si>
  <si>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</si>
  <si>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</si>
  <si>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</si>
  <si>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</si>
  <si>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</si>
  <si>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</si>
  <si>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</si>
  <si>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</si>
  <si>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</si>
  <si>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</si>
  <si>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</si>
  <si>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</si>
  <si>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</si>
  <si>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</si>
  <si>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</si>
  <si>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</si>
  <si>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</si>
  <si>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</si>
  <si>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</si>
  <si>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</si>
  <si>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</si>
  <si>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</si>
  <si>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</si>
  <si>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</si>
  <si>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</si>
  <si>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</si>
  <si>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</si>
  <si>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</si>
  <si>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</si>
  <si>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</si>
  <si>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</si>
  <si>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</si>
  <si>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</si>
  <si>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</si>
  <si>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</si>
  <si>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</si>
  <si>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</si>
  <si>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</si>
  <si>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</si>
  <si>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</si>
  <si>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</si>
  <si>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</si>
  <si>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</si>
  <si>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</si>
  <si>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</si>
  <si>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</si>
  <si>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</si>
  <si>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</si>
  <si>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</si>
  <si>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</si>
  <si>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</si>
  <si>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</si>
  <si>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</si>
  <si>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</si>
  <si>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</si>
  <si>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</si>
  <si>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</si>
  <si>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</si>
  <si>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</si>
  <si>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</si>
  <si>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</si>
  <si>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</si>
  <si>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</si>
  <si>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</si>
  <si>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</si>
  <si>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</si>
  <si>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</si>
  <si>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</si>
  <si>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</si>
  <si>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</si>
  <si>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</si>
  <si>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</si>
  <si>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</si>
  <si>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</si>
  <si>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</si>
  <si>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</si>
  <si>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</si>
  <si>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</si>
  <si>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</si>
  <si>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</si>
  <si>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</si>
  <si>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</si>
  <si>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</si>
  <si>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</si>
  <si>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</si>
  <si>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</si>
  <si>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</si>
  <si>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</si>
  <si>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</si>
  <si>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</si>
  <si>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</si>
  <si>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</si>
  <si>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</si>
  <si>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</si>
  <si>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</si>
  <si>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</si>
  <si>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</si>
  <si>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</si>
  <si>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</si>
  <si>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</si>
  <si>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</si>
  <si>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</si>
  <si>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</si>
  <si>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</si>
  <si>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</si>
  <si>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</si>
  <si>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</si>
  <si>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</si>
  <si>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</si>
  <si>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</si>
  <si>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</si>
  <si>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</si>
  <si>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</si>
  <si>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</si>
  <si>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</si>
  <si>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</si>
  <si>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</si>
  <si>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</si>
  <si>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</si>
  <si>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</si>
  <si>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</si>
  <si>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</si>
  <si>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</si>
  <si>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</si>
  <si>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</si>
  <si>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</si>
  <si>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</si>
  <si>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</si>
  <si>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</si>
  <si>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</si>
  <si>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</si>
  <si>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</si>
  <si>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</si>
  <si>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</si>
  <si>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</si>
  <si>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</si>
  <si>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</si>
  <si>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</si>
  <si>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</si>
  <si>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</si>
  <si>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</si>
  <si>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</si>
  <si>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</si>
  <si>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</si>
  <si>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</si>
  <si>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</si>
  <si>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</si>
  <si>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</si>
  <si>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</si>
  <si>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</si>
  <si>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</si>
  <si>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</si>
  <si>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</si>
  <si>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</si>
  <si>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</si>
  <si>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</si>
  <si>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</si>
  <si>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</si>
  <si>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</si>
  <si>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</si>
  <si>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</si>
  <si>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</si>
  <si>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</si>
  <si>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</si>
  <si>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</si>
  <si>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</si>
  <si>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</si>
  <si>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</si>
  <si>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</si>
  <si>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</si>
  <si>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</si>
  <si>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</si>
  <si>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</si>
  <si>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</si>
  <si>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</si>
  <si>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</si>
  <si>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</si>
  <si>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</si>
  <si>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</si>
  <si>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</si>
  <si>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</si>
  <si>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</si>
  <si>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</si>
  <si>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</si>
  <si>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</si>
  <si>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</si>
  <si>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</si>
  <si>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</si>
  <si>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</si>
  <si>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</si>
  <si>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</si>
  <si>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</si>
  <si>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</si>
  <si>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</si>
  <si>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</si>
  <si>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</si>
  <si>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</si>
  <si>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</si>
  <si>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</si>
  <si>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</si>
  <si>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</si>
  <si>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</si>
  <si>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</si>
  <si>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</si>
  <si>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</si>
  <si>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</si>
  <si>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</si>
  <si>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</si>
  <si>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</si>
  <si>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</si>
  <si>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</si>
  <si>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</si>
  <si>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</si>
  <si>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</si>
  <si>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</si>
  <si>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</si>
  <si>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</si>
  <si>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</si>
  <si>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</si>
  <si>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</si>
  <si>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</si>
  <si>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</si>
  <si>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</si>
  <si>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</si>
  <si>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</si>
  <si>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</si>
  <si>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</si>
  <si>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</si>
  <si>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</si>
  <si>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</si>
  <si>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</si>
  <si>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</si>
  <si>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</si>
  <si>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</si>
  <si>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</si>
  <si>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</si>
  <si>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</si>
  <si>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</si>
  <si>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</si>
  <si>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</si>
  <si>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</si>
  <si>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</si>
  <si>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</si>
  <si>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</si>
  <si>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</si>
  <si>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</si>
  <si>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</si>
  <si>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</si>
  <si>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</si>
  <si>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</si>
  <si>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</si>
  <si>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</si>
  <si>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</si>
  <si>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</si>
  <si>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</si>
  <si>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</si>
  <si>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</si>
  <si>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</si>
  <si>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</si>
  <si>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</si>
  <si>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</si>
  <si>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</si>
  <si>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</si>
  <si>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</si>
  <si>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</si>
  <si>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</si>
  <si>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</si>
  <si>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</si>
  <si>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</si>
  <si>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</si>
  <si>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</si>
  <si>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</si>
  <si>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</si>
  <si>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</si>
  <si>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</si>
  <si>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</si>
  <si>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</si>
  <si>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</si>
  <si>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</si>
  <si>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</si>
  <si>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</si>
  <si>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</si>
  <si>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</si>
  <si>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</si>
  <si>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</si>
  <si>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</si>
  <si>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</si>
  <si>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</si>
  <si>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</si>
  <si>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</si>
  <si>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</si>
  <si>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</si>
  <si>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</si>
  <si>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</si>
  <si>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</si>
  <si>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</si>
  <si>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</si>
  <si>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</si>
  <si>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</si>
  <si>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</si>
  <si>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</si>
  <si>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</si>
  <si>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</si>
  <si>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</si>
  <si>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</si>
  <si>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</si>
  <si>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</si>
  <si>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</si>
  <si>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</si>
  <si>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</si>
  <si>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</si>
  <si>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</si>
  <si>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</si>
  <si>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</si>
  <si>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</si>
  <si>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</si>
  <si>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</si>
  <si>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</si>
  <si>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</si>
  <si>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</si>
  <si>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</si>
  <si>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</si>
  <si>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</si>
  <si>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</si>
  <si>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</si>
  <si>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</si>
  <si>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</si>
  <si>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</si>
  <si>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</si>
  <si>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</si>
  <si>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</si>
  <si>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</si>
  <si>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</si>
  <si>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</si>
  <si>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</si>
  <si>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</si>
  <si>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</si>
  <si>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</si>
  <si>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</si>
  <si>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</si>
  <si>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</si>
  <si>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</si>
  <si>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</si>
  <si>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</si>
  <si>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</si>
  <si>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</si>
  <si>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</si>
  <si>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</si>
  <si>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</si>
  <si>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</si>
  <si>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</si>
  <si>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</si>
  <si>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</si>
  <si>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</si>
  <si>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</si>
  <si>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</si>
  <si>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</si>
  <si>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</si>
  <si>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</si>
  <si>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</si>
  <si>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</si>
  <si>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</si>
  <si>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</si>
  <si>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</si>
  <si>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</si>
  <si>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</si>
  <si>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</si>
  <si>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</si>
  <si>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</si>
  <si>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</si>
  <si>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</si>
  <si>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</si>
  <si>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</si>
  <si>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</si>
  <si>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</si>
  <si>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</si>
  <si>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</si>
  <si>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</si>
  <si>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</si>
  <si>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</si>
  <si>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</si>
  <si>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</si>
  <si>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</si>
  <si>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</si>
  <si>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</si>
  <si>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</si>
  <si>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</si>
  <si>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</si>
  <si>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</si>
  <si>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</si>
  <si>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</si>
  <si>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</si>
  <si>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</si>
  <si>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</si>
  <si>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</si>
  <si>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</si>
  <si>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</si>
  <si>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</si>
  <si>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</si>
  <si>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</si>
  <si>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</si>
  <si>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</si>
  <si>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</si>
  <si>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</si>
  <si>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</si>
  <si>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</si>
  <si>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</si>
  <si>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</si>
  <si>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</si>
  <si>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</si>
  <si>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</si>
  <si>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</si>
  <si>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</si>
  <si>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</si>
  <si>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</si>
  <si>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</si>
  <si>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</si>
  <si>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</si>
  <si>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</si>
  <si>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</si>
  <si>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</si>
  <si>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</si>
  <si>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</si>
  <si>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</si>
  <si>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</si>
  <si>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</si>
  <si>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</si>
  <si>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</si>
  <si>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</si>
  <si>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</si>
  <si>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</si>
  <si>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</si>
  <si>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</si>
  <si>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</si>
  <si>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</si>
  <si>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</si>
  <si>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</si>
  <si>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</si>
  <si>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</si>
  <si>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</si>
  <si>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</si>
  <si>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</si>
  <si>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</si>
  <si>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</si>
  <si>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</si>
  <si>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</si>
  <si>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</si>
  <si>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</si>
  <si>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</si>
  <si>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</si>
  <si>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</si>
  <si>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</si>
  <si>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</si>
  <si>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</si>
  <si>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</si>
  <si>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</si>
  <si>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</si>
  <si>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</si>
  <si>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</si>
  <si>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</si>
  <si>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</si>
  <si>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</si>
  <si>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</si>
  <si>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</si>
  <si>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</si>
  <si>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</si>
  <si>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</si>
  <si>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</si>
  <si>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</si>
  <si>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</si>
  <si>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</si>
  <si>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</si>
  <si>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</si>
  <si>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</si>
  <si>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</si>
  <si>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</si>
  <si>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</si>
  <si>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</si>
  <si>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</si>
  <si>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</si>
  <si>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</si>
  <si>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</si>
  <si>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</si>
  <si>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</si>
  <si>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</si>
  <si>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</si>
  <si>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</si>
  <si>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</si>
  <si>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</si>
  <si>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</si>
  <si>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</si>
  <si>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</si>
  <si>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</si>
  <si>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</si>
  <si>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</si>
  <si>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</si>
  <si>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</si>
  <si>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</si>
  <si>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</si>
  <si>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</si>
  <si>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</si>
  <si>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</si>
  <si>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</si>
  <si>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</si>
  <si>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</si>
  <si>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</si>
  <si>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</si>
  <si>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</si>
  <si>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</si>
  <si>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</si>
  <si>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</si>
  <si>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</si>
  <si>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</si>
  <si>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</si>
  <si>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</si>
  <si>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</si>
  <si>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</si>
  <si>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</si>
  <si>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</si>
  <si>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</si>
  <si>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</si>
  <si>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</si>
  <si>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</si>
  <si>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</si>
  <si>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</si>
  <si>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</si>
  <si>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</si>
  <si>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</si>
  <si>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</si>
  <si>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</si>
  <si>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</si>
  <si>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</si>
  <si>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</si>
  <si>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</si>
  <si>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</si>
  <si>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</si>
  <si>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</si>
  <si>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</si>
  <si>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</si>
  <si>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</si>
  <si>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</si>
  <si>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</si>
  <si>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</si>
  <si>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</si>
  <si>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</si>
  <si>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</si>
  <si>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</si>
  <si>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</si>
  <si>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</si>
  <si>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</si>
  <si>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</si>
  <si>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</si>
  <si>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</si>
  <si>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</si>
  <si>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</si>
  <si>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</si>
  <si>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</si>
  <si>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</si>
  <si>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</si>
  <si>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</si>
  <si>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</si>
  <si>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</si>
  <si>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</si>
  <si>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</si>
  <si>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</si>
  <si>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</si>
  <si>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</si>
  <si>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</si>
  <si>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</si>
  <si>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</si>
  <si>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</si>
  <si>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</si>
  <si>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</si>
  <si>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</si>
  <si>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</si>
  <si>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</si>
  <si>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</si>
  <si>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</si>
  <si>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</si>
  <si>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</si>
  <si>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</si>
  <si>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</si>
  <si>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</si>
  <si>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</si>
  <si>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</si>
  <si>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</si>
  <si>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</si>
  <si>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</si>
  <si>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</si>
  <si>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</si>
  <si>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</si>
  <si>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</si>
  <si>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</si>
  <si>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</si>
  <si>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</si>
  <si>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</si>
  <si>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</si>
  <si>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</si>
  <si>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</si>
  <si>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</si>
  <si>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</si>
  <si>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</si>
  <si>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</si>
  <si>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</si>
  <si>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</si>
  <si>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</si>
  <si>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</si>
  <si>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</si>
  <si>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</si>
  <si>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</si>
  <si>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</si>
  <si>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</si>
  <si>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</si>
  <si>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</si>
  <si>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</si>
  <si>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</si>
  <si>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</si>
  <si>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</si>
  <si>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</si>
  <si>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</si>
  <si>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</si>
  <si>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</si>
  <si>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</si>
  <si>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</si>
  <si>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</si>
  <si>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</si>
  <si>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</si>
  <si>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</si>
  <si>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</si>
  <si>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</si>
  <si>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</si>
  <si>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</si>
  <si>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</si>
  <si>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</si>
  <si>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</si>
  <si>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</si>
  <si>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</si>
  <si>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</si>
  <si>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</si>
  <si>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</si>
  <si>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</si>
  <si>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</si>
  <si>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</si>
  <si>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</si>
  <si>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</si>
  <si>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</si>
  <si>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</si>
  <si>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</si>
  <si>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</si>
  <si>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</si>
  <si>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</si>
  <si>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</si>
  <si>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</si>
  <si>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</si>
  <si>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</si>
  <si>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</si>
  <si>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</si>
  <si>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</si>
  <si>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</si>
  <si>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</si>
  <si>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</si>
  <si>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</si>
  <si>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</si>
  <si>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</si>
  <si>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</si>
  <si>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</si>
  <si>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</si>
  <si>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</si>
  <si>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</si>
  <si>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</si>
  <si>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</si>
  <si>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</si>
  <si>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</si>
  <si>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</si>
  <si>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</si>
  <si>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</si>
  <si>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</si>
  <si>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</si>
  <si>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</si>
  <si>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</si>
  <si>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</si>
  <si>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</si>
  <si>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</si>
  <si>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</si>
  <si>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</si>
  <si>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</si>
  <si>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</si>
  <si>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</si>
  <si>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</si>
  <si>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</si>
  <si>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</si>
  <si>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</si>
  <si>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</si>
  <si>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</si>
  <si>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</si>
  <si>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</si>
  <si>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</si>
  <si>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</si>
  <si>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</si>
  <si>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</si>
  <si>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</si>
  <si>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</si>
  <si>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</si>
  <si>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</si>
  <si>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</si>
  <si>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</si>
  <si>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</si>
  <si>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</si>
  <si>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</si>
  <si>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</si>
  <si>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</si>
  <si>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</si>
  <si>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</si>
  <si>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</si>
  <si>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</si>
  <si>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</si>
  <si>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</si>
  <si>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</si>
  <si>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</si>
  <si>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</si>
  <si>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</si>
  <si>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</si>
  <si>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</si>
  <si>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</si>
  <si>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</si>
  <si>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</si>
  <si>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</si>
  <si>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</si>
  <si>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</si>
  <si>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</si>
  <si>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</si>
  <si>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</si>
  <si>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</si>
  <si>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</si>
  <si>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</si>
  <si>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</si>
  <si>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</si>
  <si>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</si>
  <si>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</si>
  <si>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</si>
  <si>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</si>
  <si>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</si>
  <si>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</si>
  <si>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</si>
  <si>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</si>
  <si>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</si>
  <si>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</si>
  <si>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</si>
  <si>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</si>
  <si>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</si>
  <si>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</si>
  <si>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</si>
  <si>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</si>
  <si>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</si>
  <si>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</si>
  <si>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</si>
  <si>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</si>
  <si>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</si>
  <si>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</si>
  <si>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</si>
  <si>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</si>
  <si>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</si>
  <si>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</si>
  <si>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</si>
  <si>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</si>
  <si>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</si>
  <si>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</si>
  <si>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</si>
  <si>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</si>
  <si>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</si>
  <si>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</si>
  <si>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</si>
  <si>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</si>
  <si>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</si>
  <si>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</si>
  <si>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</si>
  <si>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</si>
  <si>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</si>
  <si>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</si>
  <si>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</si>
  <si>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</si>
  <si>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</si>
  <si>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</si>
  <si>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</si>
  <si>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</si>
  <si>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</si>
  <si>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</si>
  <si>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</si>
  <si>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</si>
  <si>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</si>
  <si>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</si>
  <si>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</si>
  <si>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</si>
  <si>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</si>
  <si>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</si>
  <si>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</si>
  <si>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</si>
  <si>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</si>
  <si>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</si>
  <si>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</si>
  <si>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</si>
  <si>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</si>
  <si>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</si>
  <si>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</si>
  <si>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</si>
  <si>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</si>
  <si>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</si>
  <si>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</si>
  <si>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</si>
  <si>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</si>
  <si>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</si>
  <si>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</si>
  <si>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</si>
  <si>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</si>
  <si>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</si>
  <si>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</si>
  <si>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</si>
  <si>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</si>
  <si>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</si>
  <si>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</si>
  <si>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</si>
  <si>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</si>
  <si>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</si>
  <si>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</si>
  <si>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</si>
  <si>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</si>
  <si>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</si>
  <si>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</si>
  <si>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</si>
  <si>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</si>
  <si>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</si>
  <si>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</si>
  <si>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</si>
  <si>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</si>
  <si>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</si>
  <si>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</si>
  <si>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</si>
  <si>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</si>
  <si>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</si>
  <si>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</si>
  <si>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</si>
  <si>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</si>
  <si>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</si>
  <si>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</si>
  <si>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</si>
  <si>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</si>
  <si>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</si>
  <si>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</si>
  <si>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</si>
  <si>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</si>
  <si>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</si>
  <si>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</si>
  <si>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</si>
  <si>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</si>
  <si>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</si>
  <si>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</si>
  <si>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</si>
  <si>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</si>
  <si>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</si>
  <si>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</si>
  <si>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</si>
  <si>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</si>
  <si>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</si>
  <si>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</si>
  <si>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</si>
  <si>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</si>
  <si>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</si>
  <si>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</si>
  <si>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</si>
  <si>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</si>
  <si>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</si>
  <si>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</si>
  <si>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</si>
  <si>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</si>
  <si>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</si>
  <si>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</si>
  <si>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</si>
  <si>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</si>
  <si>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</si>
  <si>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</si>
  <si>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</si>
  <si>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</si>
  <si>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</si>
  <si>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</si>
  <si>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</si>
  <si>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</si>
  <si>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</si>
  <si>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</si>
  <si>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</si>
  <si>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</si>
  <si>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</si>
  <si>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</si>
  <si>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</si>
  <si>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</si>
  <si>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</si>
  <si>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</si>
  <si>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</si>
  <si>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</si>
  <si>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</si>
  <si>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</si>
  <si>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</si>
  <si>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</si>
  <si>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</si>
  <si>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</si>
  <si>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</si>
  <si>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</si>
  <si>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</si>
  <si>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</si>
  <si>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</si>
  <si>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</si>
  <si>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</si>
  <si>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</si>
  <si>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</si>
  <si>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</si>
  <si>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</si>
  <si>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</si>
  <si>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</si>
  <si>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</si>
  <si>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</si>
  <si>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</si>
  <si>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</si>
  <si>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</si>
  <si>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</si>
  <si>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</si>
  <si>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</si>
  <si>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</si>
  <si>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</si>
  <si>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</si>
  <si>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</si>
  <si>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</si>
  <si>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</si>
  <si>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</si>
  <si>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</si>
  <si>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</si>
  <si>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</si>
  <si>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</si>
  <si>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</si>
  <si>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</si>
  <si>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</si>
  <si>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</si>
  <si>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</si>
  <si>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</si>
  <si>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</si>
  <si>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</si>
  <si>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</si>
  <si>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</si>
  <si>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</si>
  <si>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</si>
  <si>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</si>
  <si>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</si>
  <si>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</si>
  <si>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</si>
  <si>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</si>
  <si>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</si>
  <si>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</si>
  <si>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</si>
  <si>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</si>
  <si>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</si>
  <si>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</si>
  <si>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</si>
  <si>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</si>
  <si>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</si>
  <si>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</si>
  <si>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</si>
  <si>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</si>
  <si>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</si>
  <si>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</si>
  <si>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</si>
  <si>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</si>
  <si>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</si>
  <si>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</si>
  <si>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</si>
  <si>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</si>
  <si>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</si>
  <si>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</si>
  <si>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</si>
  <si>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</si>
  <si>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</si>
  <si>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</si>
  <si>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</si>
  <si>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</si>
  <si>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</si>
  <si>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</si>
  <si>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</si>
  <si>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</si>
  <si>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</si>
  <si>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</si>
  <si>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</si>
  <si>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</si>
  <si>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</si>
  <si>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</si>
  <si>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</si>
  <si>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</si>
  <si>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</si>
  <si>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</si>
  <si>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</si>
  <si>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</si>
  <si>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</si>
  <si>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</si>
  <si>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</si>
  <si>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</si>
  <si>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</si>
  <si>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</si>
  <si>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</si>
  <si>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</si>
  <si>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</si>
  <si>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</si>
  <si>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</si>
  <si>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</si>
  <si>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</si>
  <si>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</si>
  <si>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</si>
  <si>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</si>
  <si>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</si>
  <si>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</si>
  <si>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</si>
  <si>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</si>
  <si>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</si>
  <si>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</si>
  <si>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</si>
  <si>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</si>
  <si>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</si>
  <si>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</si>
  <si>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</si>
  <si>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</si>
  <si>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</si>
  <si>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</si>
  <si>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</si>
  <si>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</si>
  <si>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</si>
  <si>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</si>
  <si>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</si>
  <si>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</si>
  <si>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</si>
  <si>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</si>
  <si>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</si>
  <si>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</si>
  <si>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</si>
  <si>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</si>
  <si>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</si>
  <si>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</si>
  <si>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</si>
  <si>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</si>
  <si>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</si>
  <si>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</si>
  <si>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</si>
  <si>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</si>
  <si>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</si>
  <si>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</si>
  <si>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</si>
  <si>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</si>
  <si>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</si>
  <si>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</si>
  <si>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</si>
  <si>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</si>
  <si>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</si>
  <si>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</si>
  <si>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</si>
  <si>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</si>
  <si>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</si>
  <si>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</si>
  <si>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</si>
  <si>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</si>
  <si>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</si>
  <si>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</si>
  <si>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</si>
  <si>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</si>
  <si>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</si>
  <si>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</si>
  <si>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</si>
  <si>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</si>
  <si>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</si>
  <si>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</si>
  <si>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</si>
  <si>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</si>
  <si>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</si>
  <si>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</si>
  <si>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</si>
  <si>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</si>
  <si>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</si>
  <si>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</si>
  <si>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</si>
  <si>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</si>
  <si>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</si>
  <si>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</si>
  <si>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</si>
  <si>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</si>
  <si>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</si>
  <si>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</si>
  <si>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</si>
  <si>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</si>
  <si>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</si>
  <si>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</si>
  <si>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</si>
  <si>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</si>
  <si>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</si>
  <si>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</si>
  <si>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</si>
  <si>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</si>
  <si>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</si>
  <si>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</si>
  <si>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</si>
  <si>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</si>
  <si>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</si>
  <si>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</si>
  <si>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</si>
  <si>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</si>
  <si>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</si>
  <si>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</si>
  <si>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</si>
  <si>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</si>
  <si>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</si>
  <si>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</si>
  <si>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</si>
  <si>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</si>
  <si>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</si>
  <si>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</si>
  <si>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</si>
  <si>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</si>
  <si>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</si>
  <si>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</si>
  <si>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</si>
  <si>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</si>
  <si>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</si>
  <si>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</si>
  <si>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</si>
  <si>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</si>
  <si>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</si>
  <si>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</si>
  <si>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</si>
  <si>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</si>
  <si>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</si>
  <si>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</si>
  <si>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</si>
  <si>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</si>
  <si>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</si>
  <si>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</si>
  <si>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</si>
  <si>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</si>
  <si>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</si>
  <si>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</si>
  <si>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</si>
  <si>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</si>
  <si>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</si>
  <si>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</si>
  <si>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</si>
  <si>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</si>
  <si>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</si>
  <si>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</si>
  <si>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</si>
  <si>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</si>
  <si>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</si>
  <si>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</si>
  <si>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</si>
  <si>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</si>
  <si>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</si>
  <si>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</si>
  <si>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</si>
  <si>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</si>
  <si>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</si>
  <si>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</si>
  <si>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</si>
  <si>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</si>
  <si>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</si>
  <si>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</si>
  <si>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</si>
  <si>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</si>
  <si>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</si>
  <si>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</si>
  <si>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</si>
  <si>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</si>
  <si>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</si>
  <si>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</si>
  <si>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</si>
  <si>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</si>
  <si>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</si>
  <si>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</si>
  <si>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</si>
  <si>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</si>
  <si>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</si>
  <si>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</si>
  <si>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</si>
  <si>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</si>
  <si>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</si>
  <si>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</si>
  <si>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</si>
  <si>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</si>
  <si>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</si>
  <si>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</si>
  <si>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</si>
  <si>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</si>
  <si>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</si>
  <si>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</si>
  <si>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</si>
  <si>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</si>
  <si>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</si>
  <si>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</si>
  <si>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</si>
  <si>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</si>
  <si>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</si>
  <si>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</si>
  <si>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</si>
  <si>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</si>
  <si>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</si>
  <si>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</si>
  <si>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</si>
  <si>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</si>
  <si>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</si>
  <si>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</si>
  <si>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</si>
  <si>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</si>
  <si>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</si>
  <si>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</si>
  <si>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</si>
  <si>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</si>
  <si>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</si>
  <si>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</si>
  <si>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</si>
  <si>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</si>
  <si>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</si>
  <si>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</si>
  <si>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</si>
  <si>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</si>
  <si>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</si>
  <si>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</si>
  <si>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</si>
  <si>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</si>
  <si>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</si>
  <si>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</si>
  <si>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</si>
  <si>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</si>
  <si>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</si>
  <si>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</si>
  <si>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</si>
  <si>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</si>
  <si>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</si>
  <si>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</si>
  <si>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</si>
  <si>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</si>
  <si>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</si>
  <si>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</si>
  <si>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</si>
  <si>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</si>
  <si>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</si>
  <si>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</si>
  <si>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</si>
  <si>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</si>
  <si>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</si>
  <si>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</si>
  <si>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</si>
  <si>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</si>
  <si>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</si>
  <si>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</si>
  <si>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</si>
  <si>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</si>
  <si>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</si>
  <si>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</si>
  <si>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</si>
  <si>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</si>
  <si>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</si>
  <si>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</si>
  <si>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</si>
  <si>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</si>
  <si>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</si>
  <si>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</si>
  <si>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</si>
  <si>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</si>
  <si>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</si>
  <si>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</si>
  <si>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</si>
  <si>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</si>
  <si>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</si>
  <si>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</si>
  <si>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</si>
  <si>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</si>
  <si>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</si>
  <si>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</si>
  <si>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</si>
  <si>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</si>
  <si>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</si>
  <si>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</si>
  <si>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</si>
  <si>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</si>
  <si>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</si>
  <si>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</si>
  <si>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</si>
  <si>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</si>
  <si>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</si>
  <si>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</si>
  <si>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</si>
  <si>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</si>
  <si>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</si>
  <si>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</si>
  <si>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</si>
  <si>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</si>
  <si>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</si>
  <si>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</si>
  <si>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</si>
  <si>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</si>
  <si>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</si>
  <si>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</si>
  <si>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</si>
  <si>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</si>
  <si>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</si>
  <si>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</si>
  <si>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</si>
  <si>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</si>
  <si>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</si>
  <si>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</si>
  <si>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</si>
  <si>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</si>
  <si>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</si>
  <si>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</si>
  <si>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</si>
  <si>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</si>
  <si>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</si>
  <si>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</si>
  <si>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</si>
  <si>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</si>
  <si>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</si>
  <si>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</si>
  <si>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</si>
  <si>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</si>
  <si>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</si>
  <si>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</si>
  <si>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</si>
  <si>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</si>
  <si>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</si>
  <si>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</si>
  <si>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</si>
  <si>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</si>
  <si>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</si>
  <si>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</si>
  <si>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</si>
  <si>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</si>
  <si>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</si>
  <si>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</si>
  <si>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</si>
  <si>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</si>
  <si>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</si>
  <si>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</si>
  <si>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</si>
  <si>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</si>
  <si>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</si>
  <si>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</si>
  <si>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</si>
  <si>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</si>
  <si>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</si>
  <si>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</si>
  <si>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</si>
  <si>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</si>
  <si>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</si>
  <si>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</si>
  <si>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</si>
  <si>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</si>
  <si>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</si>
  <si>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</si>
  <si>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</si>
  <si>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</si>
  <si>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</si>
  <si>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</si>
  <si>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</si>
  <si>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</si>
  <si>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</si>
  <si>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</si>
  <si>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</si>
  <si>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</si>
  <si>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</si>
  <si>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</si>
  <si>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</si>
  <si>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</si>
  <si>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</si>
  <si>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</si>
  <si>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</si>
  <si>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</si>
  <si>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</si>
  <si>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</si>
  <si>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</si>
  <si>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</si>
  <si>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</si>
  <si>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</si>
  <si>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</si>
  <si>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</si>
  <si>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</si>
  <si>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</si>
  <si>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</si>
  <si>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</si>
  <si>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</si>
  <si>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</si>
  <si>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</si>
  <si>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</si>
  <si>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</si>
  <si>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</si>
  <si>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</si>
  <si>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</si>
  <si>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</si>
  <si>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</si>
  <si>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</si>
  <si>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</si>
  <si>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</si>
  <si>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</si>
  <si>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</si>
  <si>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</si>
  <si>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</si>
  <si>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</si>
  <si>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</si>
  <si>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</si>
  <si>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</si>
  <si>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</si>
  <si>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</si>
  <si>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</si>
  <si>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</si>
  <si>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</si>
  <si>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</si>
  <si>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</si>
  <si>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</si>
  <si>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</si>
  <si>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</si>
  <si>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</si>
  <si>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</si>
  <si>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</si>
  <si>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</si>
  <si>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</si>
  <si>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</si>
  <si>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</si>
  <si>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</si>
  <si>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</si>
  <si>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</si>
  <si>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</si>
  <si>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</si>
  <si>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</si>
  <si>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</si>
  <si>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</si>
  <si>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</si>
  <si>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</si>
  <si>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</si>
  <si>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</si>
  <si>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</si>
  <si>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</si>
  <si>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</si>
  <si>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</si>
  <si>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</si>
  <si>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</si>
  <si>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</si>
  <si>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</si>
  <si>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</si>
  <si>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</si>
  <si>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</si>
  <si>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</si>
  <si>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</si>
  <si>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</si>
  <si>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</si>
  <si>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</si>
  <si>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</si>
  <si>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</si>
  <si>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</si>
  <si>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</si>
  <si>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</si>
  <si>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</si>
  <si>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</si>
  <si>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</si>
  <si>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</si>
  <si>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</si>
  <si>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</si>
  <si>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</si>
  <si>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</si>
  <si>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</si>
  <si>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</si>
  <si>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</si>
  <si>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</si>
  <si>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</si>
  <si>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</si>
  <si>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</si>
  <si>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</si>
  <si>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</si>
  <si>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</si>
  <si>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</si>
  <si>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</si>
  <si>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</si>
  <si>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</si>
  <si>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</si>
  <si>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</si>
  <si>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</si>
  <si>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</si>
  <si>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</si>
  <si>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</si>
  <si>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</si>
  <si>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</si>
  <si>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</si>
  <si>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</si>
  <si>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</si>
  <si>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</si>
  <si>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</si>
  <si>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</si>
  <si>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</si>
  <si>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</si>
  <si>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</si>
  <si>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</si>
  <si>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</si>
  <si>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</si>
  <si>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</si>
  <si>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</si>
  <si>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</si>
  <si>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</si>
  <si>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</si>
  <si>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</si>
  <si>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</si>
  <si>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</si>
  <si>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</si>
  <si>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</si>
  <si>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</si>
  <si>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</si>
  <si>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</si>
  <si>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</si>
  <si>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</si>
  <si>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</si>
  <si>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</si>
  <si>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</si>
  <si>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</si>
  <si>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</si>
  <si>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</si>
  <si>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</si>
  <si>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</si>
  <si>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</si>
  <si>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</si>
  <si>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</si>
  <si>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</si>
  <si>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</si>
  <si>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</si>
  <si>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</si>
  <si>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</si>
  <si>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</si>
  <si>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</si>
  <si>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</si>
  <si>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</si>
  <si>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</si>
  <si>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</si>
  <si>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</si>
  <si>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</si>
  <si>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</si>
  <si>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</si>
  <si>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</si>
  <si>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</si>
  <si>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</si>
  <si>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</si>
  <si>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</si>
  <si>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</si>
  <si>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</si>
  <si>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</si>
  <si>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</si>
  <si>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</si>
  <si>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</si>
  <si>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</si>
  <si>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</si>
  <si>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</si>
  <si>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</si>
  <si>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</si>
  <si>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</si>
  <si>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</si>
  <si>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</si>
  <si>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</si>
  <si>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</si>
  <si>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</si>
  <si>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</si>
  <si>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</si>
  <si>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</si>
  <si>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</si>
  <si>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</si>
  <si>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</si>
  <si>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</si>
  <si>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</si>
  <si>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</si>
  <si>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</si>
  <si>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</si>
  <si>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</si>
  <si>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</si>
  <si>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</si>
  <si>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</si>
  <si>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</si>
  <si>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</si>
  <si>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</si>
  <si>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</si>
  <si>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</si>
  <si>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</si>
  <si>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</si>
  <si>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</si>
  <si>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</si>
  <si>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</si>
  <si>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</si>
  <si>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</si>
  <si>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</si>
  <si>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</si>
  <si>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</si>
  <si>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</si>
  <si>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</si>
  <si>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</si>
  <si>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</si>
  <si>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</si>
  <si>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</si>
  <si>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</si>
  <si>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</si>
  <si>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</si>
  <si>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</si>
  <si>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</si>
  <si>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</si>
  <si>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</si>
  <si>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</si>
  <si>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</si>
  <si>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</si>
  <si>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</si>
  <si>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</si>
  <si>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</si>
  <si>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</si>
  <si>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</si>
  <si>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</si>
  <si>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</si>
  <si>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</si>
  <si>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</si>
  <si>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</si>
  <si>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</si>
  <si>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</si>
  <si>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</si>
  <si>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</si>
  <si>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</si>
  <si>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</si>
  <si>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</si>
  <si>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</si>
  <si>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</si>
  <si>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</si>
  <si>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</si>
  <si>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</si>
  <si>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</si>
  <si>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</si>
  <si>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</si>
  <si>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</si>
  <si>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</si>
  <si>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</si>
  <si>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</si>
  <si>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</si>
  <si>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</si>
  <si>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</si>
  <si>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</si>
  <si>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</si>
  <si>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</si>
  <si>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</si>
  <si>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</si>
  <si>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</si>
  <si>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</si>
  <si>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</si>
  <si>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</si>
  <si>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</si>
  <si>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</si>
  <si>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</si>
  <si>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</si>
  <si>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</si>
  <si>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</si>
  <si>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</si>
  <si>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</si>
  <si>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</si>
  <si>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</si>
  <si>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</si>
  <si>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</si>
  <si>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</si>
  <si>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</si>
  <si>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</si>
  <si>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</si>
  <si>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</si>
  <si>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</si>
  <si>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</si>
  <si>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</si>
  <si>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</si>
  <si>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</si>
  <si>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</si>
  <si>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</si>
  <si>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</si>
  <si>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</si>
  <si>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</si>
  <si>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</si>
  <si>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</si>
  <si>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</si>
  <si>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</si>
  <si>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</si>
  <si>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</si>
  <si>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</si>
  <si>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</si>
  <si>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</si>
  <si>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</si>
  <si>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</si>
  <si>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</si>
  <si>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</si>
  <si>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</si>
  <si>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</si>
  <si>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</si>
  <si>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</si>
  <si>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</si>
  <si>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</si>
  <si>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</si>
  <si>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</si>
  <si>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</si>
  <si>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</si>
  <si>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</si>
  <si>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</si>
  <si>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</si>
  <si>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</si>
  <si>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</si>
  <si>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</si>
  <si>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</si>
  <si>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</si>
  <si>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</si>
  <si>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</si>
  <si>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</si>
  <si>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</si>
  <si>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</si>
  <si>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</si>
  <si>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</si>
  <si>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</si>
  <si>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</si>
  <si>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</si>
  <si>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</si>
  <si>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</si>
  <si>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</si>
  <si>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</si>
  <si>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</si>
  <si>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</si>
  <si>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</si>
  <si>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</si>
  <si>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</si>
  <si>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</si>
  <si>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</si>
  <si>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</si>
  <si>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</si>
  <si>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</si>
  <si>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</si>
  <si>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</si>
  <si>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</si>
  <si>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</si>
  <si>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</si>
  <si>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</si>
  <si>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</si>
  <si>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</si>
  <si>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</si>
  <si>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</si>
  <si>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</si>
  <si>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</si>
  <si>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</si>
  <si>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</si>
  <si>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</si>
  <si>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</si>
  <si>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</si>
  <si>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</si>
  <si>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</si>
  <si>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</si>
  <si>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</si>
  <si>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</si>
  <si>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</si>
  <si>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</si>
  <si>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</si>
  <si>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</si>
  <si>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</si>
  <si>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</si>
  <si>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</si>
  <si>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</si>
  <si>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</si>
  <si>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</si>
  <si>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</si>
  <si>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</si>
  <si>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</si>
  <si>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</si>
  <si>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</si>
  <si>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</si>
  <si>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</si>
  <si>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</si>
  <si>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</si>
  <si>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</si>
  <si>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</si>
  <si>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</si>
  <si>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</si>
  <si>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</si>
  <si>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</si>
  <si>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</si>
  <si>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</si>
  <si>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</si>
  <si>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</si>
  <si>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</si>
  <si>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</si>
  <si>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</si>
  <si>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</si>
  <si>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</si>
  <si>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</si>
  <si>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</si>
  <si>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</si>
  <si>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</si>
  <si>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</si>
  <si>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</si>
  <si>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</si>
  <si>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</si>
  <si>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</si>
  <si>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</si>
  <si>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</si>
  <si>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</si>
  <si>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</si>
  <si>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</si>
  <si>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</si>
  <si>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</si>
  <si>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</si>
  <si>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</si>
  <si>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</si>
  <si>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</si>
  <si>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</si>
  <si>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</si>
  <si>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</si>
  <si>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</si>
  <si>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</si>
  <si>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</si>
  <si>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</si>
  <si>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</si>
  <si>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</si>
  <si>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</si>
  <si>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</si>
  <si>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</si>
  <si>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</si>
  <si>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</si>
  <si>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</si>
  <si>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</si>
  <si>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</si>
  <si>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</si>
  <si>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</si>
  <si>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</si>
  <si>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</si>
  <si>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</si>
  <si>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</si>
  <si>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</si>
  <si>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</si>
  <si>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</si>
  <si>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</si>
  <si>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</si>
  <si>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</si>
  <si>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</si>
  <si>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</si>
  <si>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</si>
  <si>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</si>
  <si>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</si>
  <si>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</si>
  <si>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</si>
  <si>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</si>
  <si>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</si>
  <si>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</si>
  <si>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</si>
  <si>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</si>
  <si>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</si>
  <si>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</si>
  <si>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</si>
  <si>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</si>
  <si>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</si>
  <si>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</si>
  <si>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</si>
  <si>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</si>
  <si>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</si>
  <si>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</si>
  <si>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</si>
  <si>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</si>
  <si>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</si>
  <si>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</si>
  <si>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</si>
  <si>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</si>
  <si>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</si>
  <si>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</si>
  <si>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</si>
  <si>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</si>
  <si>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</si>
  <si>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</si>
  <si>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</si>
  <si>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</si>
  <si>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</si>
  <si>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</si>
  <si>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</si>
  <si>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</si>
  <si>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</si>
  <si>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</si>
  <si>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</si>
  <si>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</si>
  <si>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</si>
  <si>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</si>
  <si>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</si>
  <si>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</si>
  <si>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</si>
  <si>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</si>
  <si>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</si>
  <si>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</si>
  <si>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</si>
  <si>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</si>
  <si>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</si>
  <si>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</si>
  <si>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</si>
  <si>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</si>
  <si>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</si>
  <si>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</si>
  <si>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</si>
  <si>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</si>
  <si>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</si>
  <si>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</si>
  <si>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</si>
  <si>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</si>
  <si>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</si>
  <si>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</si>
  <si>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</si>
  <si>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</si>
  <si>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</si>
  <si>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</si>
  <si>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</si>
  <si>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</si>
  <si>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</si>
  <si>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</si>
  <si>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</si>
  <si>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</si>
  <si>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</si>
  <si>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</si>
  <si>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</si>
  <si>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</si>
  <si>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</si>
  <si>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</si>
  <si>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</si>
  <si>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</si>
  <si>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</si>
  <si>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</si>
  <si>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</si>
  <si>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</si>
  <si>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</si>
  <si>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</si>
  <si>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</si>
  <si>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</si>
  <si>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</si>
  <si>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</si>
  <si>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</si>
  <si>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</si>
  <si>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</si>
  <si>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</si>
  <si>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</si>
  <si>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</si>
  <si>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</si>
  <si>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</si>
  <si>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</si>
  <si>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</si>
  <si>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</si>
  <si>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</si>
  <si>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</si>
  <si>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</si>
  <si>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</si>
  <si>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</si>
  <si>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</si>
  <si>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</si>
  <si>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</si>
  <si>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</si>
  <si>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</si>
  <si>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</si>
  <si>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</si>
  <si>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</si>
  <si>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</si>
  <si>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</si>
  <si>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</si>
  <si>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</si>
  <si>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</si>
  <si>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</si>
  <si>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</si>
  <si>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</si>
  <si>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</si>
  <si>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</si>
  <si>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</si>
  <si>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</si>
  <si>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</si>
  <si>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</si>
  <si>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</si>
  <si>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</si>
  <si>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</si>
  <si>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</si>
  <si>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</si>
  <si>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</si>
  <si>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</si>
  <si>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</si>
  <si>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</si>
  <si>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</si>
  <si>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</si>
  <si>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</si>
  <si>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</si>
  <si>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</si>
  <si>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</si>
  <si>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</si>
  <si>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</si>
  <si>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</si>
  <si>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</si>
  <si>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</si>
  <si>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</si>
  <si>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</si>
  <si>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</si>
  <si>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</si>
  <si>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</si>
  <si>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</si>
  <si>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</si>
  <si>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</si>
  <si>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</si>
  <si>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</si>
  <si>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</si>
  <si>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</si>
  <si>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</si>
  <si>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</si>
  <si>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</si>
  <si>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</si>
  <si>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</si>
  <si>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</si>
  <si>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</si>
  <si>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</si>
  <si>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</si>
  <si>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</si>
  <si>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</si>
  <si>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</si>
  <si>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</si>
  <si>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</si>
  <si>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</si>
  <si>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</si>
  <si>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</si>
  <si>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</si>
  <si>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</si>
  <si>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</si>
  <si>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</si>
  <si>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</si>
  <si>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</si>
  <si>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</si>
  <si>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</si>
  <si>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</si>
  <si>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</si>
  <si>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</si>
  <si>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</si>
  <si>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</si>
  <si>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</si>
  <si>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</si>
  <si>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</si>
  <si>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</si>
  <si>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</si>
  <si>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</si>
  <si>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</si>
  <si>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</si>
  <si>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</si>
  <si>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</si>
  <si>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</si>
  <si>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</si>
  <si>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</si>
  <si>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</si>
  <si>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</si>
  <si>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</si>
  <si>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</si>
  <si>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</si>
  <si>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</si>
  <si>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</si>
  <si>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</si>
  <si>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</si>
  <si>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</si>
  <si>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</si>
  <si>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</si>
  <si>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</si>
  <si>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</si>
  <si>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</si>
  <si>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</si>
  <si>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</si>
  <si>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</si>
  <si>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</si>
  <si>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</si>
  <si>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</si>
  <si>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</si>
  <si>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</si>
  <si>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</si>
  <si>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</si>
  <si>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</si>
  <si>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</si>
  <si>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</si>
  <si>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</si>
  <si>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</si>
  <si>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</si>
  <si>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</si>
  <si>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</si>
  <si>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</si>
  <si>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</si>
  <si>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</si>
  <si>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</si>
  <si>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</si>
  <si>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</si>
  <si>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</si>
  <si>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</si>
  <si>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</si>
  <si>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</si>
  <si>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</si>
  <si>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</si>
  <si>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</si>
  <si>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</si>
  <si>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</si>
  <si>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</si>
  <si>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</si>
  <si>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</si>
  <si>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</si>
  <si>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</si>
  <si>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</si>
  <si>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</si>
  <si>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</si>
  <si>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</si>
  <si>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</si>
  <si>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</si>
  <si>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</si>
  <si>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</si>
  <si>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</si>
  <si>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</si>
  <si>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</si>
  <si>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</si>
  <si>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</si>
  <si>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</si>
  <si>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</si>
  <si>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</si>
  <si>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</si>
  <si>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</si>
  <si>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</si>
  <si>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</si>
  <si>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</si>
  <si>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</si>
  <si>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</si>
  <si>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</si>
  <si>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</si>
  <si>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</si>
  <si>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</si>
  <si>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</si>
  <si>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</si>
  <si>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</si>
  <si>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</si>
  <si>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</si>
  <si>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</si>
  <si>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</si>
  <si>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</si>
  <si>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</si>
  <si>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</si>
  <si>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</si>
  <si>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</si>
  <si>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</si>
  <si>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</si>
  <si>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</si>
  <si>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</si>
  <si>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</si>
  <si>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</si>
  <si>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</si>
  <si>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</si>
  <si>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</si>
  <si>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</si>
  <si>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</si>
  <si>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</si>
  <si>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</si>
  <si>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</si>
  <si>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</si>
  <si>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</si>
  <si>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</si>
  <si>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</si>
  <si>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</si>
  <si>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</si>
  <si>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</si>
  <si>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</si>
  <si>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</si>
  <si>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</si>
  <si>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</si>
  <si>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</si>
  <si>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</si>
  <si>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</si>
  <si>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</si>
  <si>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</si>
  <si>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</si>
  <si>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</si>
  <si>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</si>
  <si>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</si>
  <si>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</si>
  <si>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</si>
  <si>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</si>
  <si>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</si>
  <si>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</si>
  <si>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</si>
  <si>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</si>
  <si>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</si>
  <si>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</si>
  <si>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</si>
  <si>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</si>
  <si>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</si>
  <si>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</si>
  <si>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</si>
  <si>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</si>
  <si>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</si>
  <si>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</si>
  <si>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</si>
  <si>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</si>
  <si>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</si>
  <si>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</si>
  <si>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</si>
  <si>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</si>
  <si>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</si>
  <si>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</si>
  <si>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</si>
  <si>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</si>
  <si>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</si>
  <si>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</si>
  <si>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</si>
  <si>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</si>
  <si>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</si>
  <si>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</si>
  <si>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</si>
  <si>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</si>
  <si>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</si>
  <si>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</si>
  <si>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</si>
  <si>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</si>
  <si>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</si>
  <si>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</si>
  <si>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</si>
  <si>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</si>
  <si>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</si>
  <si>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</si>
  <si>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</si>
  <si>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</si>
  <si>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</si>
  <si>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</si>
  <si>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</si>
  <si>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</si>
  <si>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</si>
  <si>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</si>
  <si>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</si>
  <si>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</si>
  <si>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</si>
  <si>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</si>
  <si>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</si>
  <si>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</si>
  <si>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</si>
  <si>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</si>
  <si>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</si>
  <si>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</si>
  <si>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</si>
  <si>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</si>
  <si>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</si>
  <si>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</si>
  <si>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</si>
  <si>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</si>
  <si>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</si>
  <si>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</si>
  <si>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</si>
  <si>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</si>
  <si>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</si>
  <si>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</si>
  <si>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</si>
  <si>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</si>
  <si>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</si>
  <si>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</si>
  <si>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</si>
  <si>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</si>
  <si>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</si>
  <si>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</si>
  <si>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</si>
  <si>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</si>
  <si>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</si>
  <si>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</si>
  <si>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</si>
  <si>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</si>
  <si>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</si>
  <si>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</si>
  <si>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</si>
  <si>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</si>
  <si>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</si>
  <si>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</si>
  <si>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</si>
  <si>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</si>
  <si>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</si>
  <si>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</si>
  <si>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</si>
  <si>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</si>
  <si>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</si>
  <si>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</si>
  <si>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</si>
  <si>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</si>
  <si>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</si>
  <si>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</si>
  <si>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</si>
  <si>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</si>
  <si>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</si>
  <si>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</si>
  <si>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</si>
  <si>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</si>
  <si>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</si>
  <si>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</si>
  <si>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</si>
  <si>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</si>
  <si>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</si>
  <si>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</si>
  <si>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</si>
  <si>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</si>
  <si>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</si>
  <si>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</si>
  <si>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</si>
  <si>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</si>
  <si>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</si>
  <si>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</si>
  <si>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</si>
  <si>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</si>
  <si>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</si>
  <si>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</si>
  <si>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</si>
  <si>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</si>
  <si>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</si>
  <si>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</si>
  <si>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</si>
  <si>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</si>
  <si>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</si>
  <si>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</si>
  <si>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</si>
  <si>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</si>
  <si>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</si>
  <si>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</si>
  <si>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</si>
  <si>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</si>
  <si>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</si>
  <si>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</si>
  <si>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</si>
  <si>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</si>
  <si>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</si>
  <si>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</si>
  <si>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</si>
  <si>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</si>
  <si>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</si>
  <si>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</si>
  <si>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</si>
  <si>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</si>
  <si>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</si>
  <si>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</si>
  <si>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</si>
  <si>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</si>
  <si>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</si>
  <si>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</si>
  <si>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</si>
  <si>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</si>
  <si>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</si>
  <si>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</si>
  <si>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</si>
  <si>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</si>
  <si>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</si>
  <si>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</si>
  <si>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</si>
  <si>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</si>
  <si>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</si>
  <si>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</si>
  <si>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</si>
  <si>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</si>
  <si>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</si>
  <si>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</si>
  <si>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</si>
  <si>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</si>
  <si>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</si>
  <si>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</si>
  <si>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</si>
  <si>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</si>
  <si>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</si>
  <si>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</si>
  <si>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</si>
  <si>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</si>
  <si>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</si>
  <si>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</si>
  <si>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</si>
  <si>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</si>
  <si>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</si>
  <si>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</si>
  <si>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</si>
  <si>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</si>
  <si>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</si>
  <si>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</si>
  <si>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</si>
  <si>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</si>
  <si>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</si>
  <si>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</si>
  <si>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</si>
  <si>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</si>
  <si>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</si>
  <si>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</si>
  <si>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</si>
  <si>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</si>
  <si>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</si>
  <si>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</si>
  <si>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</si>
  <si>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</si>
  <si>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</si>
  <si>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</si>
  <si>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</si>
  <si>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</si>
  <si>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</si>
  <si>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</si>
  <si>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</si>
  <si>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</si>
  <si>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</si>
  <si>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</si>
  <si>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</si>
  <si>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</si>
  <si>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</si>
  <si>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</si>
  <si>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</si>
  <si>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</si>
  <si>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</si>
  <si>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</si>
  <si>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</si>
  <si>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</si>
  <si>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</si>
  <si>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</si>
  <si>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</si>
  <si>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</si>
  <si>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</si>
  <si>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</si>
  <si>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</si>
  <si>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</si>
  <si>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</si>
  <si>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</si>
  <si>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</si>
  <si>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</si>
  <si>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</si>
  <si>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</si>
  <si>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</si>
  <si>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</si>
  <si>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</si>
  <si>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</si>
  <si>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</si>
  <si>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</si>
  <si>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</si>
  <si>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</si>
  <si>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</si>
  <si>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</si>
  <si>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</si>
  <si>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</si>
  <si>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</si>
  <si>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</si>
  <si>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</si>
  <si>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</si>
  <si>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</si>
  <si>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</si>
  <si>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</si>
  <si>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</si>
  <si>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</si>
  <si>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</si>
  <si>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</si>
  <si>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</si>
  <si>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</si>
  <si>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</si>
  <si>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</si>
  <si>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</si>
  <si>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</si>
  <si>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</si>
  <si>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</si>
  <si>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</si>
  <si>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</si>
  <si>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</si>
  <si>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</si>
  <si>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</si>
  <si>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</si>
  <si>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</si>
  <si>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</si>
  <si>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</si>
  <si>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</si>
  <si>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</si>
  <si>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</si>
  <si>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</si>
  <si>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</si>
  <si>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</si>
  <si>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</si>
  <si>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</si>
  <si>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</si>
  <si>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</si>
  <si>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</si>
  <si>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</si>
  <si>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</si>
  <si>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</si>
  <si>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</si>
  <si>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</si>
  <si>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</si>
  <si>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</si>
  <si>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</si>
  <si>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</si>
  <si>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</si>
  <si>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</si>
  <si>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</si>
  <si>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</si>
  <si>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</si>
  <si>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</si>
  <si>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</si>
  <si>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</si>
  <si>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</si>
  <si>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</si>
  <si>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</si>
  <si>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</si>
  <si>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</si>
  <si>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</si>
  <si>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</si>
  <si>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</si>
  <si>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</si>
  <si>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</si>
  <si>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</si>
  <si>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</si>
  <si>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</si>
  <si>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</si>
  <si>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</si>
  <si>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</si>
  <si>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</si>
  <si>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</si>
  <si>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</si>
  <si>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</si>
  <si>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</si>
  <si>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</si>
  <si>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</si>
  <si>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</si>
  <si>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</si>
  <si>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</si>
  <si>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</si>
  <si>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</si>
  <si>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</si>
  <si>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</si>
  <si>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</si>
  <si>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</si>
  <si>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</si>
  <si>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</si>
  <si>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</si>
  <si>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</si>
  <si>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</si>
  <si>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</si>
  <si>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</si>
  <si>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</si>
  <si>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</si>
  <si>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</si>
  <si>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</si>
  <si>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</si>
  <si>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</si>
  <si>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</si>
  <si>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</si>
  <si>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</si>
  <si>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</si>
  <si>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</si>
  <si>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</si>
  <si>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</si>
  <si>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</si>
  <si>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</si>
  <si>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</si>
  <si>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</si>
  <si>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</si>
  <si>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</si>
  <si>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</si>
  <si>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</si>
  <si>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</si>
  <si>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</si>
  <si>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</si>
  <si>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</si>
  <si>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</si>
  <si>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</si>
  <si>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</si>
  <si>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</si>
  <si>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</si>
  <si>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</si>
  <si>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</si>
  <si>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</si>
  <si>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</si>
  <si>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</si>
  <si>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</si>
  <si>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</si>
  <si>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</si>
  <si>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</si>
  <si>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</si>
  <si>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</si>
  <si>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</si>
  <si>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</si>
  <si>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</si>
  <si>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</si>
  <si>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</si>
  <si>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</si>
  <si>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</si>
  <si>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</si>
  <si>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</si>
  <si>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</si>
  <si>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</si>
  <si>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</si>
  <si>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</si>
  <si>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</si>
  <si>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</si>
  <si>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</si>
  <si>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</si>
  <si>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</si>
  <si>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</si>
  <si>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</si>
  <si>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</si>
  <si>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</si>
  <si>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</si>
  <si>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</si>
  <si>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</si>
  <si>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</si>
  <si>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</si>
  <si>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</si>
  <si>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</si>
  <si>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</si>
  <si>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</si>
  <si>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</si>
  <si>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</si>
  <si>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</si>
  <si>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</si>
  <si>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</si>
  <si>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</si>
  <si>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</si>
  <si>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</si>
  <si>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</si>
  <si>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</si>
  <si>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</si>
  <si>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</si>
  <si>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</si>
  <si>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</si>
  <si>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</si>
  <si>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</si>
  <si>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</si>
  <si>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</si>
  <si>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</si>
  <si>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</si>
  <si>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</si>
  <si>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</si>
  <si>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</si>
  <si>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</si>
  <si>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</si>
  <si>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</si>
  <si>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</si>
  <si>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</si>
  <si>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</si>
  <si>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</si>
  <si>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</si>
  <si>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</si>
  <si>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</si>
  <si>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</si>
  <si>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</si>
  <si>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</si>
  <si>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</si>
  <si>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</si>
  <si>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</si>
  <si>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</si>
  <si>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</si>
  <si>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</si>
  <si>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</si>
  <si>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</si>
  <si>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</si>
  <si>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</si>
  <si>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</si>
  <si>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</si>
  <si>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</si>
  <si>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</si>
  <si>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</si>
  <si>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</si>
  <si>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</si>
  <si>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</si>
  <si>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</si>
  <si>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</si>
  <si>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</si>
  <si>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</si>
  <si>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</si>
  <si>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</si>
  <si>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</si>
  <si>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</si>
  <si>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</si>
  <si>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</si>
  <si>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</si>
  <si>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</si>
  <si>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</si>
  <si>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</si>
  <si>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</si>
  <si>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</si>
  <si>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</si>
  <si>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</si>
  <si>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</si>
  <si>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</si>
  <si>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</si>
  <si>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</si>
  <si>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</si>
  <si>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</si>
  <si>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</si>
  <si>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</si>
  <si>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</si>
  <si>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</si>
  <si>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</si>
  <si>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</si>
  <si>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</si>
  <si>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</si>
  <si>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</si>
  <si>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</si>
  <si>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</si>
  <si>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</si>
  <si>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</si>
  <si>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</si>
  <si>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</si>
  <si>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</si>
  <si>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</si>
  <si>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</si>
  <si>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</si>
  <si>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</si>
  <si>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</si>
  <si>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</si>
  <si>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</si>
  <si>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</si>
  <si>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</si>
  <si>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</si>
  <si>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</si>
  <si>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</si>
  <si>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</si>
  <si>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</si>
  <si>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</si>
  <si>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</si>
  <si>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</si>
  <si>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</si>
  <si>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</si>
  <si>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</si>
  <si>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</si>
  <si>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</si>
  <si>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</si>
  <si>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</si>
  <si>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</si>
  <si>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</si>
  <si>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</si>
  <si>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</si>
  <si>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</si>
  <si>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</si>
  <si>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</si>
  <si>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</si>
  <si>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</si>
  <si>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</si>
  <si>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</si>
  <si>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</si>
  <si>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</si>
  <si>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</si>
  <si>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</si>
  <si>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</si>
  <si>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</si>
  <si>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</si>
  <si>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</si>
  <si>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</si>
  <si>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</si>
  <si>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</si>
  <si>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</si>
  <si>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</si>
  <si>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</si>
  <si>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</si>
  <si>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</si>
  <si>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</si>
  <si>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</si>
  <si>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</si>
  <si>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</si>
  <si>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</si>
  <si>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</si>
  <si>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</si>
  <si>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</si>
  <si>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</si>
  <si>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</si>
  <si>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</si>
  <si>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</si>
  <si>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</si>
  <si>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</si>
  <si>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</si>
  <si>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</si>
  <si>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</si>
  <si>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</si>
  <si>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</si>
  <si>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</si>
  <si>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</si>
  <si>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</si>
  <si>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</si>
  <si>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</si>
  <si>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</si>
  <si>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</si>
  <si>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</si>
  <si>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</si>
  <si>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</si>
  <si>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</si>
  <si>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</si>
  <si>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</si>
  <si>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</si>
  <si>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</si>
  <si>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</si>
  <si>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</si>
  <si>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</si>
  <si>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</si>
  <si>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</si>
  <si>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</si>
  <si>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</si>
  <si>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</si>
  <si>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</si>
  <si>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</si>
  <si>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</si>
  <si>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</si>
  <si>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</si>
  <si>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</si>
  <si>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</si>
  <si>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</si>
  <si>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</si>
  <si>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</si>
  <si>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</si>
  <si>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</si>
  <si>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</si>
  <si>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</si>
  <si>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</si>
  <si>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</si>
  <si>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</si>
  <si>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</si>
  <si>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</si>
  <si>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</si>
  <si>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</si>
  <si>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</si>
  <si>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</si>
  <si>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</si>
  <si>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</si>
  <si>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</si>
  <si>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</si>
  <si>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</si>
  <si>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</si>
  <si>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</si>
  <si>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</si>
  <si>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</si>
  <si>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</si>
  <si>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</si>
  <si>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</si>
  <si>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</si>
  <si>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</si>
  <si>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</si>
  <si>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</si>
  <si>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</si>
  <si>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</si>
  <si>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</si>
  <si>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</si>
  <si>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</si>
  <si>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</si>
  <si>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</si>
  <si>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</si>
  <si>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</si>
  <si>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</si>
  <si>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</si>
  <si>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</si>
  <si>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</si>
  <si>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</si>
  <si>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</si>
  <si>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</si>
  <si>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</si>
  <si>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</si>
  <si>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</si>
  <si>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</si>
  <si>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</si>
  <si>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</si>
  <si>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</si>
  <si>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</si>
  <si>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</si>
  <si>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</si>
  <si>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</si>
  <si>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</si>
  <si>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</si>
  <si>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</si>
  <si>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</si>
  <si>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</si>
  <si>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</si>
  <si>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</si>
  <si>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</si>
  <si>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</si>
  <si>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</si>
  <si>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</si>
  <si>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</si>
  <si>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</si>
  <si>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</si>
  <si>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</si>
  <si>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</si>
  <si>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</si>
  <si>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</si>
  <si>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</si>
  <si>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</si>
  <si>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</si>
  <si>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</si>
  <si>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</si>
  <si>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</si>
  <si>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</si>
  <si>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</si>
  <si>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</si>
  <si>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</si>
  <si>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</si>
  <si>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</si>
  <si>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</si>
  <si>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</si>
  <si>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</si>
  <si>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</si>
  <si>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</si>
  <si>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</si>
  <si>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</si>
  <si>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</si>
  <si>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</si>
  <si>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</si>
  <si>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</si>
  <si>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</si>
  <si>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</si>
  <si>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</si>
  <si>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</si>
  <si>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</si>
  <si>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</si>
  <si>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</si>
  <si>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</si>
  <si>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</si>
  <si>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</si>
  <si>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</si>
  <si>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</si>
  <si>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</si>
  <si>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</si>
  <si>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</si>
  <si>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</si>
  <si>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</si>
  <si>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</si>
  <si>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</si>
  <si>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</si>
  <si>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</si>
  <si>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</si>
  <si>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</si>
  <si>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</si>
  <si>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</si>
  <si>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</si>
  <si>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</si>
  <si>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</si>
  <si>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</si>
  <si>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</si>
  <si>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</si>
  <si>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</si>
  <si>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</si>
  <si>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</si>
  <si>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</si>
  <si>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</si>
  <si>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</si>
  <si>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</si>
  <si>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</si>
  <si>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</si>
  <si>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</si>
  <si>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</si>
  <si>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</si>
  <si>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</si>
  <si>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</si>
  <si>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</si>
  <si>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</si>
  <si>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</si>
  <si>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</si>
  <si>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</si>
  <si>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</si>
  <si>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</si>
  <si>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</si>
  <si>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</si>
  <si>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</si>
  <si>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</si>
  <si>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</si>
  <si>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</si>
  <si>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</si>
  <si>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</si>
  <si>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</si>
  <si>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</si>
  <si>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</si>
  <si>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</si>
  <si>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</si>
  <si>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</si>
  <si>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</si>
  <si>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</si>
  <si>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</si>
  <si>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</si>
  <si>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</si>
  <si>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</si>
  <si>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</si>
  <si>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</si>
  <si>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</si>
  <si>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</si>
  <si>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</si>
  <si>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</si>
  <si>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</si>
  <si>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</si>
  <si>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</si>
  <si>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</si>
  <si>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</si>
  <si>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</si>
  <si>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</si>
  <si>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</si>
  <si>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</si>
  <si>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</si>
  <si>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</si>
  <si>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</si>
  <si>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</si>
  <si>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</si>
  <si>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</si>
  <si>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</si>
  <si>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</si>
  <si>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</si>
  <si>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</si>
  <si>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</si>
  <si>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</si>
  <si>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</si>
  <si>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</si>
  <si>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</si>
  <si>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</si>
  <si>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</si>
  <si>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</si>
  <si>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</si>
  <si>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</si>
  <si>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</si>
  <si>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</si>
  <si>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</si>
  <si>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</si>
  <si>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</si>
  <si>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</si>
  <si>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</si>
  <si>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</si>
  <si>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</si>
  <si>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</si>
  <si>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</si>
  <si>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</si>
  <si>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</si>
  <si>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</si>
  <si>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</si>
  <si>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</si>
  <si>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</si>
  <si>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</si>
  <si>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</si>
  <si>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</si>
  <si>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</si>
  <si>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</si>
  <si>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</si>
  <si>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</si>
  <si>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</si>
  <si>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</si>
  <si>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</si>
  <si>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</si>
  <si>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</si>
  <si>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</si>
  <si>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</si>
  <si>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</si>
  <si>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</si>
  <si>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</si>
  <si>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</si>
  <si>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</si>
  <si>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</si>
  <si>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</si>
  <si>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</si>
  <si>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</si>
  <si>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</si>
  <si>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</si>
  <si>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</si>
  <si>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</si>
  <si>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</si>
  <si>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</si>
  <si>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</si>
  <si>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</si>
  <si>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</si>
  <si>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</si>
  <si>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</si>
  <si>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</si>
  <si>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</si>
  <si>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</si>
  <si>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</si>
  <si>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</si>
  <si>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</si>
  <si>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</si>
  <si>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</si>
  <si>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</si>
  <si>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</si>
  <si>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</si>
  <si>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</si>
  <si>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</si>
  <si>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</si>
  <si>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</si>
  <si>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</si>
  <si>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</si>
  <si>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</si>
  <si>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</si>
  <si>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</si>
  <si>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</si>
  <si>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</si>
  <si>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</si>
  <si>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</si>
  <si>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</si>
  <si>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</si>
  <si>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</si>
  <si>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</si>
  <si>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</si>
  <si>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</si>
  <si>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</si>
  <si>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</si>
  <si>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</si>
  <si>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</si>
  <si>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</si>
  <si>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</si>
  <si>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</si>
  <si>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</si>
  <si>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</si>
  <si>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</si>
  <si>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</si>
  <si>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</si>
  <si>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</si>
  <si>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</si>
  <si>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</si>
  <si>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</si>
  <si>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</si>
  <si>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</si>
  <si>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</si>
  <si>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</si>
  <si>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</si>
  <si>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</si>
  <si>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</si>
  <si>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</si>
  <si>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</si>
  <si>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</si>
  <si>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</si>
  <si>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</si>
  <si>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</si>
  <si>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</si>
  <si>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</si>
  <si>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</si>
  <si>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</si>
  <si>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</si>
  <si>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</si>
  <si>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</si>
  <si>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</si>
  <si>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</si>
  <si>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</si>
  <si>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</si>
  <si>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</si>
  <si>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</si>
  <si>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</si>
  <si>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</si>
  <si>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</si>
  <si>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</si>
  <si>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</si>
  <si>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</si>
  <si>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</si>
  <si>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</si>
  <si>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</si>
  <si>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</si>
  <si>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</si>
  <si>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</si>
  <si>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</si>
  <si>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</si>
  <si>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</si>
  <si>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</si>
  <si>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</si>
  <si>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</si>
  <si>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</si>
  <si>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</si>
  <si>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</si>
  <si>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</si>
  <si>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</si>
  <si>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</si>
  <si>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</si>
  <si>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</si>
  <si>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</si>
  <si>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</si>
  <si>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</si>
  <si>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</si>
  <si>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</si>
  <si>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</si>
  <si>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</si>
  <si>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</si>
  <si>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</si>
  <si>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</si>
  <si>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</si>
  <si>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</si>
  <si>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</si>
  <si>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</si>
  <si>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</si>
  <si>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</si>
  <si>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</si>
  <si>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</si>
  <si>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</si>
  <si>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</si>
  <si>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</si>
  <si>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</si>
  <si>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</si>
  <si>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</si>
  <si>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</si>
  <si>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</si>
  <si>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</si>
  <si>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</si>
  <si>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</si>
  <si>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</si>
  <si>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</si>
  <si>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</si>
  <si>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</si>
  <si>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</si>
  <si>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</si>
  <si>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</si>
  <si>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</si>
  <si>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</si>
  <si>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</si>
  <si>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</si>
  <si>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</si>
  <si>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</si>
  <si>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</si>
  <si>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</si>
  <si>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</si>
  <si>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</si>
  <si>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</si>
  <si>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</si>
  <si>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</si>
  <si>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</si>
  <si>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</si>
  <si>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</si>
  <si>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</si>
  <si>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</si>
  <si>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</si>
  <si>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</si>
  <si>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</si>
  <si>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</si>
  <si>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</si>
  <si>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</si>
  <si>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</si>
  <si>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</si>
  <si>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</si>
  <si>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</si>
  <si>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</si>
  <si>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</si>
  <si>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</si>
  <si>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</si>
  <si>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</si>
  <si>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</si>
  <si>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</si>
  <si>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</si>
  <si>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</si>
  <si>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</si>
  <si>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</si>
  <si>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</si>
  <si>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</si>
  <si>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</si>
  <si>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</si>
  <si>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</si>
  <si>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</si>
  <si>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</si>
  <si>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</si>
  <si>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</si>
  <si>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</si>
  <si>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</si>
  <si>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</si>
  <si>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</si>
  <si>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</si>
  <si>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</si>
  <si>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</si>
  <si>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</si>
  <si>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</si>
  <si>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</si>
  <si>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</si>
  <si>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</si>
  <si>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</si>
  <si>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</si>
  <si>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</si>
  <si>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</si>
  <si>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</si>
  <si>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</si>
  <si>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</si>
  <si>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</si>
  <si>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</si>
  <si>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</si>
  <si>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</si>
  <si>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</si>
  <si>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</si>
  <si>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</si>
  <si>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</si>
  <si>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</si>
  <si>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</si>
  <si>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</si>
  <si>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</si>
  <si>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</si>
  <si>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</si>
  <si>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</si>
  <si>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</si>
  <si>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</si>
  <si>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</si>
  <si>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</si>
  <si>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</si>
  <si>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</si>
  <si>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</si>
  <si>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</si>
  <si>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</si>
  <si>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</si>
  <si>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</si>
  <si>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</si>
  <si>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</si>
  <si>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</si>
  <si>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</si>
  <si>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</si>
  <si>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</si>
  <si>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</si>
  <si>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</si>
  <si>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</si>
  <si>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</si>
  <si>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</si>
  <si>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</si>
  <si>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</si>
  <si>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</si>
  <si>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</si>
  <si>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</si>
  <si>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</si>
  <si>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</si>
  <si>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</si>
  <si>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</si>
  <si>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</si>
  <si>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</si>
  <si>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</si>
  <si>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</si>
  <si>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</si>
  <si>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</si>
  <si>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</si>
  <si>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</si>
  <si>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</si>
  <si>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</si>
  <si>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</si>
  <si>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</si>
  <si>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</si>
  <si>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</si>
  <si>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</si>
  <si>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</si>
  <si>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</si>
  <si>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</si>
  <si>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</si>
  <si>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</si>
  <si>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</si>
  <si>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</si>
  <si>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</si>
  <si>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</si>
  <si>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</si>
  <si>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</si>
  <si>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</si>
  <si>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</si>
  <si>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</si>
  <si>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</si>
  <si>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</si>
  <si>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</si>
  <si>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</si>
  <si>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</si>
  <si>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</si>
  <si>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</si>
  <si>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</si>
  <si>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</si>
  <si>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</si>
  <si>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</si>
  <si>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</si>
  <si>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</si>
  <si>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</si>
  <si>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</si>
  <si>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</si>
  <si>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</si>
  <si>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</si>
  <si>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</si>
  <si>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</si>
  <si>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</si>
  <si>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</si>
  <si>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</si>
  <si>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</si>
  <si>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</si>
  <si>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</si>
  <si>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</si>
  <si>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</si>
  <si>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</si>
  <si>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</si>
  <si>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</si>
  <si>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</si>
  <si>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</si>
  <si>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</si>
  <si>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</si>
  <si>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</si>
  <si>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</si>
  <si>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</si>
  <si>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</si>
  <si>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</si>
  <si>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</si>
  <si>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</si>
  <si>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</si>
  <si>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</si>
  <si>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</si>
  <si>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</si>
  <si>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</si>
  <si>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</si>
  <si>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</si>
  <si>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</si>
  <si>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</si>
  <si>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</si>
  <si>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</si>
  <si>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</si>
  <si>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</si>
  <si>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</si>
  <si>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</si>
  <si>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</si>
  <si>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</si>
  <si>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</si>
  <si>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</si>
  <si>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</si>
  <si>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</si>
  <si>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</si>
  <si>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</si>
  <si>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</si>
  <si>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</si>
  <si>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</si>
  <si>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</si>
  <si>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</si>
  <si>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</si>
  <si>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</si>
  <si>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</si>
  <si>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</si>
  <si>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</si>
  <si>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</si>
  <si>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</si>
  <si>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</si>
  <si>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</si>
  <si>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</si>
  <si>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</si>
  <si>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</si>
  <si>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</si>
  <si>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</si>
  <si>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</si>
  <si>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</si>
  <si>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</si>
  <si>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</si>
  <si>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</si>
  <si>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</si>
  <si>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</si>
  <si>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</si>
  <si>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</si>
  <si>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</si>
  <si>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</si>
  <si>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</si>
  <si>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</si>
  <si>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</si>
  <si>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</si>
  <si>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</si>
  <si>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</si>
  <si>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</si>
  <si>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</si>
  <si>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</si>
  <si>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</si>
  <si>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</si>
  <si>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</si>
  <si>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</si>
  <si>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</si>
  <si>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</si>
  <si>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</si>
  <si>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</si>
  <si>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</si>
  <si>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</si>
  <si>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</si>
  <si>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</si>
  <si>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</si>
  <si>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</si>
  <si>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</si>
  <si>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</si>
  <si>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</si>
  <si>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</si>
  <si>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</si>
  <si>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</si>
  <si>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</si>
  <si>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</si>
  <si>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</si>
  <si>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</si>
  <si>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</si>
  <si>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</si>
  <si>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</si>
  <si>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</si>
  <si>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</si>
  <si>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</si>
  <si>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</si>
  <si>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</si>
  <si>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</si>
  <si>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</si>
  <si>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</si>
  <si>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</si>
  <si>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</si>
  <si>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</si>
  <si>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</si>
  <si>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</si>
  <si>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</si>
  <si>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</si>
  <si>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</si>
  <si>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</si>
  <si>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</si>
  <si>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</si>
  <si>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</si>
  <si>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</si>
  <si>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</si>
  <si>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</si>
  <si>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</si>
  <si>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</si>
  <si>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</si>
  <si>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</si>
  <si>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</si>
  <si>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</si>
  <si>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</si>
  <si>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</si>
  <si>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</si>
  <si>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</si>
  <si>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</si>
  <si>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</si>
  <si>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</si>
  <si>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</si>
  <si>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</si>
  <si>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</si>
  <si>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</si>
  <si>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</si>
  <si>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</si>
  <si>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</si>
  <si>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</si>
  <si>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</si>
  <si>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</si>
  <si>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</si>
  <si>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</si>
  <si>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</si>
  <si>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</si>
  <si>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</si>
  <si>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</si>
  <si>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</si>
  <si>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</si>
  <si>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</si>
  <si>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</si>
  <si>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</si>
  <si>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</si>
  <si>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</si>
  <si>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</si>
  <si>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</si>
  <si>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</si>
  <si>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</si>
  <si>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</si>
  <si>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</si>
  <si>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</si>
  <si>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</si>
  <si>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</si>
  <si>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</si>
  <si>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</si>
  <si>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</si>
  <si>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</si>
  <si>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</si>
  <si>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</si>
  <si>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</si>
  <si>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</si>
  <si>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</si>
  <si>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</si>
  <si>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</si>
  <si>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</si>
  <si>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</si>
  <si>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</si>
  <si>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</si>
  <si>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</si>
  <si>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</si>
  <si>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</si>
  <si>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</si>
  <si>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</si>
  <si>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</si>
  <si>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</si>
  <si>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</si>
  <si>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</si>
  <si>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</si>
  <si>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</si>
  <si>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</si>
  <si>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</si>
  <si>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</si>
  <si>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</si>
  <si>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</si>
  <si>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</si>
  <si>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</si>
  <si>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</si>
  <si>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</si>
  <si>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</si>
  <si>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</si>
  <si>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</si>
  <si>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</si>
  <si>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</si>
  <si>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</si>
  <si>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</si>
  <si>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</si>
  <si>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</si>
  <si>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</si>
  <si>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</si>
  <si>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</si>
  <si>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</si>
  <si>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</si>
  <si>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</si>
  <si>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</si>
  <si>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</si>
  <si>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</si>
  <si>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</si>
  <si>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</si>
  <si>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</si>
  <si>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</si>
  <si>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</si>
  <si>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</si>
  <si>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</si>
  <si>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</si>
  <si>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</si>
  <si>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</si>
  <si>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</si>
  <si>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</si>
  <si>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</si>
  <si>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</si>
  <si>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</si>
  <si>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</si>
  <si>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</si>
  <si>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</si>
  <si>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</si>
  <si>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</si>
  <si>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</si>
  <si>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</si>
  <si>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</si>
  <si>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</si>
  <si>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</si>
  <si>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</si>
  <si>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</si>
  <si>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</si>
  <si>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</si>
  <si>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</si>
  <si>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</si>
  <si>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</si>
  <si>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</si>
  <si>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</si>
  <si>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</si>
  <si>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</si>
  <si>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</si>
  <si>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</si>
  <si>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</si>
  <si>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</si>
  <si>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</si>
  <si>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</si>
  <si>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</si>
  <si>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</si>
  <si>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</si>
  <si>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</si>
  <si>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</si>
  <si>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</si>
  <si>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</si>
  <si>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</si>
  <si>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</si>
  <si>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</si>
  <si>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</si>
  <si>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</si>
  <si>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</si>
  <si>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</si>
  <si>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</si>
  <si>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</si>
  <si>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</si>
  <si>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</si>
  <si>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</si>
  <si>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</si>
  <si>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</si>
  <si>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</si>
  <si>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</si>
  <si>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</si>
  <si>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</si>
  <si>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</si>
  <si>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</si>
  <si>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</si>
  <si>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</si>
  <si>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</si>
  <si>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</si>
  <si>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</si>
  <si>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</si>
  <si>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</si>
  <si>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</si>
  <si>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</si>
  <si>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</si>
  <si>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</si>
  <si>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</si>
  <si>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</si>
  <si>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</si>
  <si>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</si>
  <si>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</si>
  <si>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</si>
  <si>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</si>
  <si>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</si>
  <si>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</si>
  <si>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</si>
  <si>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</si>
  <si>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</si>
  <si>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</si>
  <si>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</si>
  <si>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</si>
  <si>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</si>
  <si>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</si>
  <si>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</si>
  <si>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</si>
  <si>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</si>
  <si>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</si>
  <si>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</si>
  <si>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</si>
  <si>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</si>
  <si>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</si>
  <si>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</si>
  <si>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</si>
  <si>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</si>
  <si>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</si>
  <si>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</si>
  <si>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</si>
  <si>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</si>
  <si>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</si>
  <si>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</si>
  <si>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</si>
  <si>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</si>
  <si>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</si>
  <si>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</si>
  <si>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</si>
  <si>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</si>
  <si>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</si>
  <si>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</si>
  <si>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</si>
  <si>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</si>
  <si>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</si>
  <si>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</si>
  <si>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</si>
  <si>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</si>
  <si>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</si>
  <si>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</si>
  <si>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</si>
  <si>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</si>
  <si>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</si>
  <si>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</si>
  <si>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</si>
  <si>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</si>
  <si>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</si>
  <si>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</si>
  <si>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</si>
  <si>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</si>
  <si>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</si>
  <si>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</si>
  <si>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</si>
  <si>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</si>
  <si>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</si>
  <si>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</si>
  <si>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</si>
  <si>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</si>
  <si>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</si>
  <si>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</si>
  <si>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</si>
  <si>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</si>
  <si>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</si>
  <si>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</si>
  <si>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</si>
  <si>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</si>
  <si>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</si>
  <si>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</si>
  <si>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</si>
  <si>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</si>
  <si>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</si>
  <si>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</si>
  <si>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</si>
  <si>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</si>
  <si>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</si>
  <si>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</si>
  <si>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</si>
  <si>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</si>
  <si>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</si>
  <si>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</si>
  <si>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</si>
  <si>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</si>
  <si>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</si>
  <si>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</si>
  <si>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</si>
  <si>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</si>
  <si>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</si>
  <si>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</si>
  <si>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</si>
  <si>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</si>
  <si>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</si>
  <si>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</si>
  <si>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</si>
  <si>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</si>
  <si>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</si>
  <si>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</si>
  <si>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</si>
  <si>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</si>
  <si>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</si>
  <si>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</si>
  <si>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</si>
  <si>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</si>
  <si>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</si>
  <si>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</si>
  <si>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</si>
  <si>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</si>
  <si>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</si>
  <si>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</si>
  <si>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</si>
  <si>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</si>
  <si>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</si>
  <si>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</si>
  <si>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</si>
  <si>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</si>
  <si>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</si>
  <si>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</si>
  <si>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</si>
  <si>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</si>
  <si>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</si>
  <si>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</si>
  <si>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</si>
  <si>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</si>
  <si>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</si>
  <si>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</si>
  <si>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</si>
  <si>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</si>
  <si>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</si>
  <si>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</si>
  <si>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</si>
  <si>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</si>
  <si>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</si>
  <si>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</si>
  <si>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</si>
  <si>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</si>
  <si>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</si>
  <si>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</si>
  <si>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</si>
  <si>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</si>
  <si>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</si>
  <si>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</si>
  <si>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</si>
  <si>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</si>
  <si>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</si>
  <si>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</si>
  <si>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</si>
  <si>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</si>
  <si>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</si>
  <si>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</si>
  <si>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</si>
  <si>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</si>
  <si>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</si>
  <si>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</si>
  <si>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</si>
  <si>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</si>
  <si>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</si>
  <si>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</si>
  <si>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</si>
  <si>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</si>
  <si>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</si>
  <si>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</si>
  <si>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</si>
  <si>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</si>
  <si>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</si>
  <si>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</si>
  <si>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</si>
  <si>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</si>
  <si>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</si>
  <si>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</si>
  <si>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</si>
  <si>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</si>
  <si>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</si>
  <si>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</si>
  <si>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</si>
  <si>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</si>
  <si>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</si>
  <si>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</si>
  <si>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</si>
  <si>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</si>
  <si>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</si>
  <si>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</si>
  <si>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</si>
  <si>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</si>
  <si>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</si>
  <si>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</si>
  <si>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</si>
  <si>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</si>
  <si>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</si>
  <si>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</si>
  <si>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</si>
  <si>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</si>
  <si>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</si>
  <si>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</si>
  <si>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</si>
  <si>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</si>
  <si>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</si>
  <si>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</si>
  <si>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</si>
  <si>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</si>
  <si>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</si>
  <si>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</si>
  <si>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</si>
  <si>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</si>
  <si>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</si>
  <si>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</si>
  <si>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</si>
  <si>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</si>
  <si>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</si>
  <si>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</si>
  <si>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</si>
  <si>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</si>
  <si>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</si>
  <si>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</si>
  <si>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</si>
  <si>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</si>
  <si>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</si>
  <si>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</si>
  <si>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</si>
  <si>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</si>
  <si>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</si>
  <si>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</si>
  <si>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</si>
  <si>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</si>
  <si>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</si>
  <si>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</si>
  <si>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</si>
  <si>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</si>
  <si>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</si>
  <si>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</si>
  <si>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</si>
  <si>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</si>
  <si>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</si>
  <si>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</si>
  <si>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</si>
  <si>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</si>
  <si>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</si>
  <si>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</si>
  <si>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</si>
  <si>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</si>
  <si>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</si>
  <si>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</si>
  <si>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</si>
  <si>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</si>
  <si>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</si>
  <si>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</si>
  <si>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</si>
  <si>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</si>
  <si>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</si>
  <si>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</si>
  <si>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</si>
  <si>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</si>
  <si>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</si>
  <si>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</si>
  <si>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</si>
  <si>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</si>
  <si>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</si>
  <si>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</si>
  <si>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</si>
  <si>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</si>
  <si>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</si>
  <si>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</si>
  <si>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</si>
  <si>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</si>
  <si>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</si>
  <si>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</si>
  <si>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</si>
  <si>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</si>
  <si>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</si>
  <si>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</si>
  <si>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</si>
  <si>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</si>
  <si>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</si>
  <si>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</si>
  <si>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</si>
  <si>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</si>
  <si>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</si>
  <si>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</si>
  <si>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</si>
  <si>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</si>
  <si>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</si>
  <si>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</si>
  <si>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</si>
  <si>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</si>
  <si>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</si>
  <si>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</si>
  <si>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</si>
  <si>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</si>
  <si>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</si>
  <si>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</si>
  <si>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</si>
  <si>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</si>
  <si>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</si>
  <si>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</si>
  <si>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</si>
  <si>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</si>
  <si>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</si>
  <si>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</si>
  <si>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</si>
  <si>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</si>
  <si>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</si>
  <si>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</si>
  <si>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</si>
  <si>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</si>
  <si>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</si>
  <si>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</si>
  <si>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</si>
  <si>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</si>
  <si>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</si>
  <si>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</si>
  <si>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</si>
  <si>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</si>
  <si>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</si>
  <si>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</si>
  <si>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</si>
  <si>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</si>
  <si>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</si>
  <si>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</si>
  <si>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</si>
  <si>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</si>
  <si>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</si>
  <si>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</si>
  <si>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</si>
  <si>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</si>
  <si>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</si>
  <si>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</si>
  <si>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</si>
  <si>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</si>
  <si>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</si>
  <si>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</si>
  <si>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</si>
  <si>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</si>
  <si>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</si>
  <si>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</si>
  <si>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</si>
  <si>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</si>
  <si>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</si>
  <si>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</si>
  <si>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</si>
  <si>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</si>
  <si>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</si>
  <si>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</si>
  <si>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</si>
  <si>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</si>
  <si>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</si>
  <si>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</si>
  <si>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</si>
  <si>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</si>
  <si>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</si>
  <si>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</si>
  <si>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</si>
  <si>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</si>
  <si>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</si>
  <si>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</si>
  <si>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</si>
  <si>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</si>
  <si>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</si>
  <si>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</si>
  <si>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</si>
  <si>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</si>
  <si>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</si>
  <si>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</si>
  <si>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</si>
  <si>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</si>
  <si>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</si>
  <si>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</si>
  <si>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</si>
  <si>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</si>
  <si>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</si>
  <si>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</si>
  <si>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</si>
  <si>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</si>
  <si>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</si>
  <si>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</si>
  <si>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</si>
  <si>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</si>
  <si>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</si>
  <si>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</si>
  <si>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</si>
  <si>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</si>
  <si>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</si>
  <si>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</si>
  <si>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</si>
  <si>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</si>
  <si>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</si>
  <si>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</si>
  <si>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</si>
  <si>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</si>
  <si>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</si>
  <si>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</si>
  <si>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</si>
  <si>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</si>
  <si>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</si>
  <si>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</si>
  <si>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</si>
  <si>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</si>
  <si>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</si>
  <si>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</si>
  <si>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</si>
  <si>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</si>
  <si>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</si>
  <si>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</si>
  <si>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</si>
  <si>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</si>
  <si>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</si>
  <si>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</si>
  <si>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</si>
  <si>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</si>
  <si>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</si>
  <si>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</si>
  <si>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</si>
  <si>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</si>
  <si>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</si>
  <si>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</si>
  <si>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</si>
  <si>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</si>
  <si>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</si>
  <si>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</si>
  <si>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</si>
  <si>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</si>
  <si>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</si>
  <si>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</si>
  <si>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</si>
  <si>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</si>
  <si>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</si>
  <si>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</si>
  <si>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</si>
  <si>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</si>
  <si>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</si>
  <si>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</si>
  <si>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</si>
  <si>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</si>
  <si>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</si>
  <si>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</si>
  <si>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</si>
  <si>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</si>
  <si>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</si>
  <si>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</si>
  <si>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</si>
  <si>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</si>
  <si>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</si>
  <si>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</si>
  <si>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</si>
  <si>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</si>
  <si>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</si>
  <si>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</si>
  <si>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</si>
  <si>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</si>
  <si>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</si>
  <si>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</si>
  <si>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</si>
  <si>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</si>
  <si>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</si>
  <si>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</si>
  <si>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</si>
  <si>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</si>
  <si>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</si>
  <si>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</si>
  <si>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</si>
  <si>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</si>
  <si>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</si>
  <si>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</si>
  <si>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</si>
  <si>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</si>
  <si>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</si>
  <si>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</si>
  <si>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</si>
  <si>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</si>
  <si>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</si>
  <si>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</si>
  <si>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</si>
  <si>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</si>
  <si>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</si>
  <si>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</si>
  <si>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</si>
  <si>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</si>
  <si>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</si>
  <si>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</si>
  <si>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</si>
  <si>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</si>
  <si>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</si>
  <si>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</si>
  <si>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</si>
  <si>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</si>
  <si>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</si>
  <si>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</si>
  <si>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</si>
  <si>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</si>
  <si>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</si>
  <si>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</si>
  <si>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</si>
  <si>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</si>
  <si>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</si>
  <si>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</si>
  <si>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</si>
  <si>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</si>
  <si>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</si>
  <si>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</si>
  <si>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</si>
  <si>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</si>
  <si>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</si>
  <si>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</si>
  <si>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</si>
  <si>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</si>
  <si>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</si>
  <si>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</si>
  <si>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</si>
  <si>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</si>
  <si>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</si>
  <si>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</si>
  <si>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</si>
  <si>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</si>
  <si>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</si>
  <si>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</si>
  <si>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</si>
  <si>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</si>
  <si>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</si>
  <si>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</si>
  <si>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</si>
  <si>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</si>
  <si>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</si>
  <si>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</si>
  <si>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</si>
  <si>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</si>
  <si>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</si>
  <si>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</si>
  <si>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</si>
  <si>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</si>
  <si>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</si>
  <si>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</si>
  <si>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</si>
  <si>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</si>
  <si>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</si>
  <si>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</si>
  <si>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</si>
  <si>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</si>
  <si>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</si>
  <si>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</si>
  <si>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</si>
  <si>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</si>
  <si>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</si>
  <si>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</si>
  <si>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</si>
  <si>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</si>
  <si>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</si>
  <si>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</si>
  <si>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</si>
  <si>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</si>
  <si>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</si>
  <si>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</si>
  <si>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</si>
  <si>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</si>
  <si>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</si>
  <si>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</si>
  <si>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</si>
  <si>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</si>
  <si>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</si>
  <si>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</si>
  <si>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</si>
  <si>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</si>
  <si>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</si>
  <si>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</si>
  <si>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</si>
  <si>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</si>
  <si>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</si>
  <si>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</si>
  <si>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</si>
  <si>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</si>
  <si>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</si>
  <si>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</si>
  <si>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</si>
  <si>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</si>
  <si>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</si>
  <si>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</si>
  <si>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</si>
  <si>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</si>
  <si>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</si>
  <si>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</si>
  <si>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</si>
  <si>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</si>
  <si>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</si>
  <si>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</si>
  <si>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</si>
  <si>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</si>
  <si>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</si>
  <si>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</si>
  <si>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</si>
  <si>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</si>
  <si>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</si>
  <si>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</si>
  <si>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</si>
  <si>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</si>
  <si>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</si>
  <si>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</si>
  <si>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</si>
  <si>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</si>
  <si>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</si>
  <si>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</si>
  <si>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</si>
  <si>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</si>
  <si>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</si>
  <si>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</si>
  <si>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</si>
  <si>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</si>
  <si>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</si>
  <si>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</si>
  <si>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</si>
  <si>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</si>
  <si>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</si>
  <si>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</si>
  <si>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</si>
  <si>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</si>
  <si>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</si>
  <si>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</si>
  <si>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</si>
  <si>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</si>
  <si>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</si>
  <si>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</si>
  <si>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</si>
  <si>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</si>
  <si>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</si>
  <si>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</si>
  <si>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</si>
  <si>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</si>
  <si>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</si>
  <si>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</si>
  <si>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</si>
  <si>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</si>
  <si>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</si>
  <si>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</si>
  <si>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</si>
  <si>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</si>
  <si>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</si>
  <si>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</si>
  <si>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</si>
  <si>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</si>
  <si>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</si>
  <si>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</si>
  <si>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</si>
  <si>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</si>
  <si>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</si>
  <si>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</si>
  <si>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</si>
  <si>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</si>
  <si>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</si>
  <si>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</si>
  <si>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</si>
  <si>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</si>
  <si>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</si>
  <si>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</si>
  <si>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</si>
  <si>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</si>
  <si>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</si>
  <si>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</si>
  <si>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</si>
  <si>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</si>
  <si>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</si>
  <si>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</si>
  <si>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</si>
  <si>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</si>
  <si>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</si>
  <si>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</si>
  <si>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</si>
  <si>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</si>
  <si>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</si>
  <si>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</si>
  <si>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</si>
  <si>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</si>
  <si>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</si>
  <si>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</si>
  <si>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</si>
  <si>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</si>
  <si>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</si>
  <si>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</si>
  <si>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</si>
  <si>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</si>
  <si>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</si>
  <si>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</si>
  <si>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</si>
  <si>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</si>
  <si>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</si>
  <si>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</si>
  <si>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</si>
  <si>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</si>
  <si>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</si>
  <si>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</si>
  <si>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</si>
  <si>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</si>
  <si>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</si>
  <si>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</si>
  <si>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</si>
  <si>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</si>
  <si>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</si>
  <si>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</si>
  <si>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</si>
  <si>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</si>
  <si>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</si>
  <si>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</si>
  <si>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</si>
  <si>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</si>
  <si>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</si>
  <si>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</si>
  <si>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</si>
  <si>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</si>
  <si>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</si>
  <si>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</si>
  <si>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</si>
  <si>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</si>
  <si>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</si>
  <si>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</si>
  <si>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</si>
  <si>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</si>
  <si>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</si>
  <si>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</si>
  <si>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</si>
  <si>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</si>
  <si>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</si>
  <si>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</si>
  <si>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</si>
  <si>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</si>
  <si>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</si>
  <si>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</si>
  <si>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</si>
  <si>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</si>
  <si>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</si>
  <si>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</si>
  <si>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</si>
  <si>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</si>
  <si>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</si>
  <si>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</si>
  <si>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</si>
  <si>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</si>
  <si>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</si>
  <si>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</si>
  <si>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</si>
  <si>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</si>
  <si>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</si>
  <si>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</si>
  <si>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</si>
  <si>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</si>
  <si>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</si>
  <si>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</si>
  <si>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</si>
  <si>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</si>
  <si>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</si>
  <si>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</si>
  <si>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</si>
  <si>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</si>
  <si>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</si>
  <si>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</si>
  <si>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</si>
  <si>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</si>
  <si>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</si>
  <si>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</si>
  <si>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</si>
  <si>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</si>
  <si>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</si>
  <si>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</si>
  <si>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</si>
  <si>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</si>
  <si>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</si>
  <si>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</si>
  <si>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</si>
  <si>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</si>
  <si>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</si>
  <si>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</si>
  <si>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</si>
  <si>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</si>
  <si>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</si>
  <si>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</si>
  <si>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</si>
  <si>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</si>
  <si>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</si>
  <si>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</si>
  <si>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</si>
  <si>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</si>
  <si>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</si>
  <si>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</si>
  <si>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</si>
  <si>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</si>
  <si>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</si>
  <si>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</si>
  <si>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</si>
  <si>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</si>
  <si>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</si>
  <si>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</si>
  <si>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</si>
  <si>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</si>
  <si>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</si>
  <si>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</si>
  <si>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</si>
  <si>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</si>
  <si>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</si>
  <si>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</si>
  <si>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</si>
  <si>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</si>
  <si>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</si>
  <si>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</si>
  <si>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</si>
  <si>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</si>
  <si>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</si>
  <si>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</si>
  <si>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</si>
  <si>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</si>
  <si>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</si>
  <si>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</si>
  <si>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</si>
  <si>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</si>
  <si>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</si>
  <si>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</si>
  <si>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</si>
  <si>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</si>
  <si>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</si>
  <si>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</si>
  <si>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</si>
  <si>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</si>
  <si>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</si>
  <si>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</si>
  <si>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</si>
  <si>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</si>
  <si>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</si>
  <si>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</si>
  <si>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</si>
  <si>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</si>
  <si>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</si>
  <si>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</si>
  <si>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</si>
  <si>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</si>
  <si>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</si>
  <si>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</si>
  <si>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</si>
  <si>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</si>
  <si>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</si>
  <si>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</si>
  <si>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</si>
  <si>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</si>
  <si>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</si>
  <si>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</si>
  <si>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</si>
  <si>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</si>
  <si>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</si>
  <si>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</si>
  <si>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</si>
  <si>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</si>
  <si>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</si>
  <si>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</si>
  <si>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</si>
  <si>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</si>
  <si>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</si>
  <si>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</si>
  <si>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</si>
  <si>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</si>
  <si>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</si>
  <si>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</si>
  <si>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</si>
  <si>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</si>
  <si>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</si>
  <si>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</si>
  <si>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</si>
  <si>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</si>
  <si>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</si>
  <si>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</si>
  <si>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</si>
  <si>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</si>
  <si>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</si>
  <si>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</si>
  <si>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</si>
  <si>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</si>
  <si>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</si>
  <si>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</si>
  <si>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</si>
  <si>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</si>
  <si>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</si>
  <si>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</si>
  <si>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</si>
  <si>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</si>
  <si>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</si>
  <si>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</si>
  <si>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</si>
  <si>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</si>
  <si>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</si>
  <si>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</si>
  <si>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</si>
  <si>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</si>
  <si>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</si>
  <si>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</si>
  <si>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</si>
  <si>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</si>
  <si>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</si>
  <si>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</si>
  <si>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</si>
  <si>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</si>
  <si>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</si>
  <si>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</si>
  <si>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</si>
  <si>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</si>
  <si>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</si>
  <si>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</si>
  <si>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</si>
  <si>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</si>
  <si>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</si>
  <si>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</si>
  <si>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</si>
  <si>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</si>
  <si>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</si>
  <si>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</si>
  <si>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</si>
  <si>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</si>
  <si>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</si>
  <si>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</si>
  <si>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</si>
  <si>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</si>
  <si>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</si>
  <si>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</si>
  <si>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</si>
  <si>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</si>
  <si>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</si>
  <si>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</si>
  <si>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</si>
  <si>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</si>
  <si>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</si>
  <si>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</si>
  <si>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</si>
  <si>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</si>
  <si>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</si>
  <si>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</si>
  <si>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</si>
  <si>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</si>
  <si>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</si>
  <si>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</si>
  <si>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</si>
  <si>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</si>
  <si>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</si>
  <si>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</si>
  <si>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</si>
  <si>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</si>
  <si>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</si>
  <si>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</si>
  <si>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</si>
  <si>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</si>
  <si>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</si>
  <si>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</si>
  <si>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</si>
  <si>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</si>
  <si>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</si>
  <si>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</si>
  <si>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</si>
  <si>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</si>
  <si>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</si>
  <si>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</si>
  <si>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</si>
  <si>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</si>
  <si>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</si>
  <si>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</si>
  <si>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</si>
  <si>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</si>
  <si>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</si>
  <si>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</si>
  <si>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</si>
  <si>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</si>
  <si>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</si>
  <si>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</si>
  <si>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</si>
  <si>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</si>
  <si>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</si>
  <si>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</si>
  <si>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</si>
  <si>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</si>
  <si>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</si>
  <si>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</si>
  <si>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</si>
  <si>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</si>
  <si>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</si>
  <si>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</si>
  <si>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</si>
  <si>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</si>
  <si>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</si>
  <si>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</si>
  <si>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</si>
  <si>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</si>
  <si>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</si>
  <si>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</si>
  <si>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</si>
  <si>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</si>
  <si>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</si>
  <si>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</si>
  <si>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</si>
  <si>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</si>
  <si>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</si>
  <si>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</si>
  <si>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</si>
  <si>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</si>
  <si>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</si>
  <si>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</si>
  <si>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</si>
  <si>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</si>
  <si>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</si>
  <si>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</si>
  <si>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</si>
  <si>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</si>
  <si>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</si>
  <si>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</si>
  <si>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</si>
  <si>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</si>
  <si>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</si>
  <si>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</si>
  <si>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</si>
  <si>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</si>
  <si>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</si>
  <si>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</si>
  <si>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</si>
  <si>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</si>
  <si>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</si>
  <si>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</si>
  <si>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</si>
  <si>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</si>
  <si>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</si>
  <si>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</si>
  <si>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</si>
  <si>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</si>
  <si>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</si>
  <si>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</si>
  <si>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</si>
  <si>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</si>
  <si>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</si>
  <si>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</si>
  <si>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</si>
  <si>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</si>
  <si>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</si>
  <si>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</si>
  <si>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</si>
  <si>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</si>
  <si>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</si>
  <si>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</si>
  <si>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</si>
  <si>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</si>
  <si>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</si>
  <si>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</si>
  <si>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</si>
  <si>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</si>
  <si>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</si>
  <si>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</si>
  <si>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</si>
  <si>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</si>
  <si>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</si>
  <si>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</si>
  <si>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</si>
  <si>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</si>
  <si>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</si>
  <si>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</si>
  <si>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</si>
  <si>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</si>
  <si>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</si>
  <si>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</si>
  <si>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</si>
  <si>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</si>
  <si>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</si>
  <si>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</si>
  <si>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</si>
  <si>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</si>
  <si>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</si>
  <si>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</si>
  <si>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</si>
  <si>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</si>
  <si>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</si>
  <si>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</si>
  <si>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</si>
  <si>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</si>
  <si>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</si>
  <si>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</si>
  <si>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</si>
  <si>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</si>
  <si>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</si>
  <si>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</si>
  <si>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</si>
  <si>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</si>
  <si>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</si>
  <si>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</si>
  <si>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</si>
  <si>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</si>
  <si>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</si>
  <si>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</si>
  <si>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</si>
  <si>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</si>
  <si>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</si>
  <si>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</si>
  <si>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</si>
  <si>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</si>
  <si>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</si>
  <si>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</si>
  <si>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</si>
  <si>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</si>
  <si>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</si>
  <si>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</si>
  <si>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</si>
  <si>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</si>
  <si>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</si>
  <si>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</si>
  <si>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</si>
  <si>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</si>
  <si>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</si>
  <si>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</si>
  <si>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</si>
  <si>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</si>
  <si>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</si>
  <si>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</si>
  <si>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</si>
  <si>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</si>
  <si>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</si>
  <si>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</si>
  <si>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</si>
  <si>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</si>
  <si>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</si>
  <si>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</si>
  <si>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</si>
  <si>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</si>
  <si>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</si>
  <si>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</si>
  <si>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</si>
  <si>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</si>
  <si>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</si>
  <si>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</si>
  <si>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</si>
  <si>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</si>
  <si>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</si>
  <si>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</si>
  <si>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</si>
  <si>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</si>
  <si>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</si>
  <si>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</si>
  <si>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</si>
  <si>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</si>
  <si>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</si>
  <si>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</si>
  <si>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</si>
  <si>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</si>
  <si>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</si>
  <si>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</si>
  <si>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</si>
  <si>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</si>
  <si>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</si>
  <si>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</si>
  <si>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</si>
  <si>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</si>
  <si>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</si>
  <si>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</si>
  <si>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</si>
  <si>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</si>
  <si>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</si>
  <si>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</si>
  <si>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</si>
  <si>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</si>
  <si>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</si>
  <si>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</si>
  <si>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</si>
  <si>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</si>
  <si>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</si>
  <si>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</si>
  <si>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</si>
  <si>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</si>
  <si>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</si>
  <si>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</si>
  <si>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</si>
  <si>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</si>
  <si>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</si>
  <si>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</si>
  <si>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</si>
  <si>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</si>
  <si>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</si>
  <si>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</si>
  <si>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</si>
  <si>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</si>
  <si>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</si>
  <si>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</si>
  <si>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</si>
  <si>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</si>
  <si>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</si>
  <si>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</si>
  <si>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</si>
  <si>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</si>
  <si>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</si>
  <si>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</si>
  <si>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</si>
  <si>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</si>
  <si>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</si>
  <si>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</si>
  <si>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</si>
  <si>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</si>
  <si>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</si>
  <si>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</si>
  <si>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</si>
  <si>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</si>
  <si>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</si>
  <si>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</si>
  <si>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</si>
  <si>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</si>
  <si>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</si>
  <si>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</si>
  <si>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</si>
  <si>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</si>
  <si>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</si>
  <si>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</si>
  <si>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</si>
  <si>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</si>
  <si>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</si>
  <si>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</si>
  <si>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</si>
  <si>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</si>
  <si>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</si>
  <si>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</si>
  <si>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</si>
  <si>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</si>
  <si>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</si>
  <si>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</si>
  <si>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</si>
  <si>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</si>
  <si>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</si>
  <si>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</si>
  <si>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</si>
  <si>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</si>
  <si>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</si>
  <si>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</si>
  <si>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</si>
  <si>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</si>
  <si>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</si>
  <si>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</si>
  <si>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</si>
  <si>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</si>
  <si>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</si>
  <si>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</si>
  <si>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</si>
  <si>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</si>
  <si>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</si>
  <si>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</si>
  <si>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</si>
  <si>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</si>
  <si>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</si>
  <si>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</si>
  <si>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</si>
  <si>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</si>
  <si>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</si>
  <si>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</si>
  <si>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</si>
  <si>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</si>
  <si>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</si>
  <si>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</si>
  <si>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</si>
  <si>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</si>
  <si>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</si>
  <si>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</si>
  <si>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</si>
  <si>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</si>
  <si>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</si>
  <si>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</si>
  <si>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</si>
  <si>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</si>
  <si>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</si>
  <si>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</si>
  <si>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</si>
  <si>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</si>
  <si>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</si>
  <si>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</si>
  <si>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</si>
  <si>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</si>
  <si>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</si>
  <si>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</si>
  <si>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</si>
  <si>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</si>
  <si>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</si>
  <si>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</si>
  <si>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</si>
  <si>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</si>
  <si>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</si>
  <si>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</si>
  <si>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</si>
  <si>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</si>
  <si>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</si>
  <si>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</si>
  <si>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</si>
  <si>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</si>
  <si>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</si>
  <si>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</si>
  <si>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</si>
  <si>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</si>
  <si>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</si>
  <si>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</si>
  <si>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</si>
  <si>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</si>
  <si>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</si>
  <si>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</si>
  <si>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</si>
  <si>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</si>
  <si>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</si>
  <si>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</si>
  <si>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</si>
  <si>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</si>
  <si>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</si>
  <si>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</si>
  <si>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</si>
  <si>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</si>
  <si>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</si>
  <si>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</si>
  <si>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</si>
  <si>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</si>
  <si>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</si>
  <si>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</si>
  <si>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</si>
  <si>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</si>
  <si>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</si>
  <si>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</si>
  <si>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</si>
  <si>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</si>
  <si>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</si>
  <si>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</si>
  <si>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</si>
  <si>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</si>
  <si>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</si>
  <si>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</si>
  <si>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</si>
  <si>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</si>
  <si>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</si>
  <si>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</si>
  <si>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</si>
  <si>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</si>
  <si>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</si>
  <si>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</si>
  <si>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</si>
  <si>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</si>
  <si>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</si>
  <si>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</si>
  <si>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</si>
  <si>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</si>
  <si>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</si>
  <si>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</si>
  <si>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</si>
  <si>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</si>
  <si>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</si>
  <si>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</si>
  <si>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</si>
  <si>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</si>
  <si>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</si>
  <si>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</si>
  <si>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</si>
  <si>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</si>
  <si>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</si>
  <si>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</si>
  <si>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</si>
  <si>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</si>
  <si>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</si>
  <si>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</si>
  <si>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</si>
  <si>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</si>
  <si>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</si>
  <si>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</si>
  <si>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</si>
  <si>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</si>
  <si>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</si>
  <si>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</si>
  <si>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</si>
  <si>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</si>
  <si>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</si>
  <si>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</si>
  <si>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</si>
  <si>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</si>
  <si>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</si>
  <si>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</si>
  <si>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</si>
  <si>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</si>
  <si>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</si>
  <si>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</si>
  <si>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</si>
  <si>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</si>
  <si>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</si>
  <si>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</si>
  <si>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</si>
  <si>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</si>
  <si>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</si>
  <si>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</si>
  <si>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</si>
  <si>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</si>
  <si>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</si>
  <si>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</si>
  <si>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</si>
  <si>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</si>
  <si>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</si>
  <si>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</si>
  <si>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</si>
  <si>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</si>
  <si>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</si>
  <si>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</si>
  <si>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</si>
  <si>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</si>
  <si>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</si>
  <si>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</si>
  <si>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</si>
  <si>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</si>
  <si>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</si>
  <si>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</si>
  <si>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</si>
  <si>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</si>
  <si>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</si>
  <si>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</si>
  <si>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</si>
  <si>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</si>
  <si>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</si>
  <si>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</si>
  <si>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</si>
  <si>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</si>
  <si>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</si>
  <si>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</si>
  <si>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</si>
  <si>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</si>
  <si>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</si>
  <si>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</si>
  <si>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</si>
  <si>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</si>
  <si>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</si>
  <si>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</si>
  <si>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</si>
  <si>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</si>
  <si>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</si>
  <si>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</si>
  <si>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</si>
  <si>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</si>
  <si>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</si>
  <si>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</si>
  <si>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</si>
  <si>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</si>
  <si>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</si>
  <si>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</si>
  <si>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</si>
  <si>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</si>
  <si>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</si>
  <si>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</si>
  <si>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</si>
  <si>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</si>
  <si>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</si>
  <si>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</si>
  <si>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</si>
  <si>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</si>
  <si>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</si>
  <si>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</si>
  <si>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</si>
  <si>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</si>
  <si>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</si>
  <si>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</si>
  <si>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</si>
  <si>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</si>
  <si>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</si>
  <si>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</si>
  <si>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</si>
  <si>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</si>
  <si>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</si>
  <si>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</si>
  <si>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</si>
  <si>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</si>
  <si>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</si>
  <si>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</si>
  <si>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</si>
  <si>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</si>
  <si>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</si>
  <si>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</si>
  <si>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</si>
  <si>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</si>
  <si>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</si>
  <si>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</si>
  <si>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</si>
  <si>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</si>
  <si>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</si>
  <si>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</si>
  <si>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</si>
  <si>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</si>
  <si>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</si>
  <si>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</si>
  <si>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</si>
  <si>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</si>
  <si>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</si>
  <si>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</si>
  <si>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</si>
  <si>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</si>
  <si>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</si>
  <si>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</si>
  <si>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</si>
  <si>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</si>
  <si>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</si>
  <si>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</si>
  <si>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</si>
  <si>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</si>
  <si>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</si>
  <si>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</si>
  <si>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</si>
  <si>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</si>
  <si>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</si>
  <si>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</si>
  <si>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</si>
  <si>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</si>
  <si>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</si>
  <si>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</si>
  <si>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</si>
  <si>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</si>
  <si>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</si>
  <si>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</si>
  <si>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</si>
  <si>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</si>
  <si>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</si>
  <si>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</si>
  <si>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</si>
  <si>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</si>
  <si>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</si>
  <si>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</si>
  <si>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</si>
  <si>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</si>
  <si>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</si>
  <si>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</si>
  <si>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</si>
  <si>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</si>
  <si>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</si>
  <si>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</si>
  <si>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</si>
  <si>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</si>
  <si>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</si>
  <si>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</si>
  <si>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</si>
  <si>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</si>
  <si>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</si>
  <si>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</si>
  <si>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</si>
  <si>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</si>
  <si>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</si>
  <si>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</si>
  <si>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</si>
  <si>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</si>
  <si>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</si>
  <si>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</si>
  <si>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</si>
  <si>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</si>
  <si>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</si>
  <si>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</si>
  <si>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</si>
  <si>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</si>
  <si>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</si>
  <si>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</si>
  <si>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</si>
  <si>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</si>
  <si>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</si>
  <si>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</si>
  <si>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</si>
  <si>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</si>
  <si>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</si>
  <si>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</si>
  <si>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</si>
  <si>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</si>
  <si>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</si>
  <si>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</si>
  <si>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</si>
  <si>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</si>
  <si>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</si>
  <si>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</si>
  <si>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</si>
  <si>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</si>
  <si>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</si>
  <si>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</si>
  <si>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</si>
  <si>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</si>
  <si>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</si>
  <si>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</si>
  <si>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</si>
  <si>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</si>
  <si>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</si>
  <si>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</si>
  <si>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</si>
  <si>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</si>
  <si>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</si>
  <si>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</si>
  <si>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</si>
  <si>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</si>
  <si>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</si>
  <si>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</si>
  <si>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</si>
  <si>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</si>
  <si>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</si>
  <si>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</si>
  <si>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</si>
  <si>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</si>
  <si>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</si>
  <si>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</si>
  <si>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</si>
  <si>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</si>
  <si>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</si>
  <si>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</si>
  <si>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</si>
  <si>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</si>
  <si>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</si>
  <si>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</si>
  <si>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</si>
  <si>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</si>
  <si>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</si>
  <si>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</si>
  <si>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</si>
  <si>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</si>
  <si>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</si>
  <si>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</si>
  <si>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</si>
  <si>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</si>
  <si>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</si>
  <si>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</si>
  <si>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</si>
  <si>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</si>
  <si>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</si>
  <si>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</si>
  <si>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</si>
  <si>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</si>
  <si>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</si>
  <si>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</si>
  <si>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</si>
  <si>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</si>
  <si>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</si>
  <si>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</si>
  <si>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</si>
  <si>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</si>
  <si>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</si>
  <si>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</si>
  <si>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</si>
  <si>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</si>
  <si>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</si>
  <si>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</si>
  <si>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</si>
  <si>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</si>
  <si>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</si>
  <si>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</si>
  <si>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</si>
  <si>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</si>
  <si>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</si>
  <si>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</si>
  <si>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</si>
  <si>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</si>
  <si>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</si>
  <si>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</si>
  <si>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</si>
  <si>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</si>
  <si>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</si>
  <si>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</si>
  <si>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</si>
  <si>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</si>
  <si>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</si>
  <si>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</si>
  <si>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</si>
  <si>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</si>
  <si>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</si>
  <si>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</si>
  <si>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</si>
  <si>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</si>
  <si>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</si>
  <si>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</si>
  <si>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</si>
  <si>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</si>
  <si>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</si>
  <si>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</si>
  <si>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</si>
  <si>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</si>
  <si>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</si>
  <si>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</si>
  <si>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</si>
  <si>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</si>
  <si>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</si>
  <si>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</si>
  <si>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</si>
  <si>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</si>
  <si>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</si>
  <si>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</si>
  <si>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</si>
  <si>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</si>
  <si>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</si>
  <si>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</si>
  <si>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</si>
  <si>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</si>
  <si>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</si>
  <si>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</si>
  <si>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</si>
  <si>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</si>
  <si>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</si>
  <si>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</si>
  <si>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</si>
  <si>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</si>
  <si>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</si>
  <si>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</si>
  <si>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</si>
  <si>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</si>
  <si>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</si>
  <si>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</si>
  <si>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</si>
  <si>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</si>
  <si>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</si>
  <si>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</si>
  <si>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</si>
  <si>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</si>
  <si>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</si>
  <si>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</si>
  <si>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</si>
  <si>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</si>
  <si>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</si>
  <si>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</si>
  <si>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</si>
  <si>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</si>
  <si>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</si>
  <si>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</si>
  <si>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</si>
  <si>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</si>
  <si>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</si>
  <si>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</si>
  <si>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</si>
  <si>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</si>
  <si>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</si>
  <si>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</si>
  <si>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</si>
  <si>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</si>
  <si>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</si>
  <si>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</si>
  <si>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</si>
  <si>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</si>
  <si>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</si>
  <si>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</si>
  <si>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</si>
  <si>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</si>
  <si>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</si>
  <si>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</si>
  <si>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</si>
  <si>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</si>
  <si>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</si>
  <si>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</si>
  <si>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</si>
  <si>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</si>
  <si>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</si>
  <si>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</si>
  <si>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</si>
  <si>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</si>
  <si>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</si>
  <si>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</si>
  <si>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</si>
  <si>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</si>
  <si>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</si>
  <si>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</si>
  <si>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</si>
  <si>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</si>
  <si>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</si>
  <si>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</si>
  <si>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</si>
  <si>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</si>
  <si>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</si>
  <si>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</si>
  <si>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</si>
  <si>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</si>
  <si>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</si>
  <si>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</si>
  <si>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</si>
  <si>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</si>
  <si>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</si>
  <si>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</si>
  <si>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</si>
  <si>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</si>
  <si>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</si>
  <si>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</si>
  <si>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</si>
  <si>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</si>
  <si>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</si>
  <si>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</si>
  <si>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</si>
  <si>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</si>
  <si>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</si>
  <si>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</si>
  <si>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</si>
  <si>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</si>
  <si>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</si>
  <si>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</si>
  <si>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</si>
  <si>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</si>
  <si>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</si>
  <si>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</si>
  <si>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</si>
  <si>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</si>
  <si>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</si>
  <si>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</si>
  <si>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</si>
  <si>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</si>
  <si>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</si>
  <si>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</si>
  <si>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</si>
  <si>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</si>
  <si>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</si>
  <si>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</si>
  <si>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</si>
  <si>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</si>
  <si>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</si>
  <si>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</si>
  <si>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</si>
  <si>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</si>
  <si>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</si>
  <si>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</si>
  <si>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</si>
  <si>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</si>
  <si>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</si>
  <si>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</si>
  <si>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</si>
  <si>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</si>
  <si>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</si>
  <si>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</si>
  <si>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</si>
  <si>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</si>
  <si>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</si>
  <si>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</si>
  <si>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</si>
  <si>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</si>
  <si>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</si>
  <si>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</si>
  <si>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</si>
  <si>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</si>
  <si>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</si>
  <si>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</si>
  <si>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</si>
  <si>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</si>
  <si>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</si>
  <si>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</si>
  <si>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</si>
  <si>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</si>
  <si>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</si>
  <si>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</si>
  <si>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</si>
  <si>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</si>
  <si>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</si>
  <si>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</si>
  <si>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</si>
  <si>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</si>
  <si>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</si>
  <si>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</si>
  <si>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</si>
  <si>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</si>
  <si>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</si>
  <si>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</si>
  <si>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</si>
  <si>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</si>
  <si>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</si>
  <si>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</si>
  <si>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</si>
  <si>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</si>
  <si>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</si>
  <si>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</si>
  <si>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</si>
  <si>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</si>
  <si>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</si>
  <si>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</si>
  <si>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</si>
  <si>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</si>
  <si>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</si>
  <si>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</si>
  <si>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</si>
  <si>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</si>
  <si>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</si>
  <si>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</si>
  <si>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</si>
  <si>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</si>
  <si>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</si>
  <si>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</si>
  <si>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</si>
  <si>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</si>
  <si>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</si>
  <si>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</si>
  <si>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</si>
  <si>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</si>
  <si>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</si>
  <si>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</si>
  <si>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</si>
  <si>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</si>
  <si>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</si>
  <si>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</si>
  <si>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</si>
  <si>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</si>
  <si>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</si>
  <si>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</si>
  <si>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</si>
  <si>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</si>
  <si>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</si>
  <si>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</si>
  <si>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</si>
  <si>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</si>
  <si>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</si>
  <si>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</si>
  <si>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</si>
  <si>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</si>
  <si>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</si>
  <si>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</si>
  <si>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</si>
  <si>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</si>
  <si>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</si>
  <si>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</si>
  <si>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</si>
  <si>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</si>
  <si>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</si>
  <si>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</si>
  <si>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</si>
  <si>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</si>
  <si>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</si>
  <si>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</si>
  <si>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</si>
  <si>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</si>
  <si>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</si>
  <si>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</si>
  <si>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</si>
  <si>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</si>
  <si>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</si>
  <si>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</si>
  <si>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</si>
  <si>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</si>
  <si>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</si>
  <si>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</si>
  <si>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</si>
  <si>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</si>
  <si>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</si>
  <si>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</si>
  <si>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</si>
  <si>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</si>
  <si>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</si>
  <si>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</si>
  <si>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</si>
  <si>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</si>
  <si>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</si>
  <si>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</si>
  <si>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</si>
  <si>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</si>
  <si>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</si>
  <si>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</si>
  <si>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</si>
  <si>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</si>
  <si>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</si>
  <si>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</si>
  <si>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</si>
  <si>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</si>
  <si>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</si>
  <si>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</si>
  <si>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</si>
  <si>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</si>
  <si>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</si>
  <si>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</si>
  <si>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</si>
  <si>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</si>
  <si>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</si>
  <si>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</si>
  <si>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</si>
  <si>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</si>
  <si>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</si>
  <si>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</si>
  <si>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</si>
  <si>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</si>
  <si>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</si>
  <si>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</si>
  <si>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</si>
  <si>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</si>
  <si>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</si>
  <si>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</si>
  <si>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</si>
  <si>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</si>
  <si>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</si>
  <si>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</si>
  <si>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</si>
  <si>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</si>
  <si>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</si>
  <si>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</si>
  <si>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</si>
  <si>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</si>
  <si>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</si>
  <si>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</si>
  <si>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</si>
  <si>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</si>
  <si>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</si>
  <si>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</si>
  <si>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</si>
  <si>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</si>
  <si>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</si>
  <si>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</si>
  <si>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</si>
  <si>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</si>
  <si>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</si>
  <si>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</si>
  <si>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</si>
  <si>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</si>
  <si>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</si>
  <si>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</si>
  <si>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</si>
  <si>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</si>
  <si>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</si>
  <si>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</si>
  <si>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</si>
  <si>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</si>
  <si>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</si>
  <si>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</si>
  <si>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</si>
  <si>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</si>
  <si>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</si>
  <si>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</si>
  <si>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</si>
  <si>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</si>
  <si>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</si>
  <si>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</si>
  <si>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</si>
  <si>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</si>
  <si>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</si>
  <si>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</si>
  <si>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</si>
  <si>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</si>
  <si>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</si>
  <si>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</si>
  <si>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</si>
  <si>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</si>
  <si>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</si>
  <si>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</si>
  <si>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</si>
  <si>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</si>
  <si>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</si>
  <si>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</si>
  <si>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</si>
  <si>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</si>
  <si>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</si>
  <si>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</si>
  <si>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</si>
  <si>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</si>
  <si>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</si>
  <si>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</si>
  <si>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</si>
  <si>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</si>
  <si>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</si>
  <si>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</si>
  <si>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</si>
  <si>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</si>
  <si>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</si>
  <si>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</si>
  <si>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</si>
  <si>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</si>
  <si>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</si>
  <si>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</si>
  <si>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</si>
  <si>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</si>
  <si>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</si>
  <si>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</si>
  <si>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</si>
  <si>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</si>
  <si>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</si>
  <si>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</si>
  <si>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</si>
  <si>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</si>
  <si>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</si>
  <si>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</si>
  <si>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</si>
  <si>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</si>
  <si>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</si>
  <si>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</si>
  <si>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</si>
  <si>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</si>
  <si>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</si>
  <si>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</si>
  <si>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</si>
  <si>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</si>
  <si>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</si>
  <si>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</si>
  <si>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</si>
  <si>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</si>
  <si>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</si>
  <si>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</si>
  <si>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</si>
  <si>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</si>
  <si>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</si>
  <si>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</si>
  <si>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</si>
  <si>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</si>
  <si>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</si>
  <si>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</si>
  <si>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</si>
  <si>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</si>
  <si>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</si>
  <si>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</si>
  <si>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</si>
  <si>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</si>
  <si>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</si>
  <si>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</si>
  <si>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</si>
  <si>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</si>
  <si>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</si>
  <si>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</si>
  <si>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</si>
  <si>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</si>
  <si>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</si>
  <si>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</si>
  <si>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</si>
  <si>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</si>
  <si>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</si>
  <si>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</si>
  <si>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</si>
  <si>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</si>
  <si>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</si>
  <si>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</si>
  <si>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</si>
  <si>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</si>
  <si>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</si>
  <si>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</si>
  <si>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</si>
  <si>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</si>
  <si>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</si>
  <si>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</si>
  <si>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</si>
  <si>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</si>
  <si>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</si>
  <si>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</si>
  <si>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</si>
  <si>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</si>
  <si>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</si>
  <si>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</si>
  <si>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</si>
  <si>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</si>
  <si>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</si>
  <si>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</si>
  <si>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</si>
  <si>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</si>
  <si>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</si>
  <si>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</si>
  <si>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</si>
  <si>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</si>
  <si>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</si>
  <si>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</si>
  <si>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</si>
  <si>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</si>
  <si>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</si>
  <si>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</si>
  <si>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</si>
  <si>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</si>
  <si>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</si>
  <si>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</si>
  <si>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</si>
  <si>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</si>
  <si>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</si>
  <si>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</si>
  <si>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</si>
  <si>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</si>
  <si>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</si>
  <si>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</si>
  <si>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</si>
  <si>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</si>
  <si>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</si>
  <si>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</si>
  <si>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</si>
  <si>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</si>
  <si>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</si>
  <si>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</si>
  <si>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</si>
  <si>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</si>
  <si>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</si>
  <si>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</si>
  <si>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</si>
  <si>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</si>
  <si>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</si>
  <si>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</si>
  <si>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</si>
  <si>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</si>
  <si>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</si>
  <si>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</si>
  <si>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</si>
  <si>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</si>
  <si>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</si>
  <si>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</si>
  <si>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</si>
  <si>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</si>
  <si>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</si>
  <si>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</si>
  <si>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</si>
  <si>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</si>
  <si>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</si>
  <si>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</si>
  <si>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</si>
  <si>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</si>
  <si>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</si>
  <si>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</si>
  <si>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</si>
  <si>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</si>
  <si>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</si>
  <si>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</si>
  <si>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</si>
  <si>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</si>
  <si>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</si>
  <si>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</si>
  <si>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</si>
  <si>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</si>
  <si>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</si>
  <si>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</si>
  <si>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</si>
  <si>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</si>
  <si>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</si>
  <si>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</si>
  <si>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</si>
  <si>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</si>
  <si>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</si>
  <si>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</si>
  <si>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</si>
  <si>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</si>
  <si>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</si>
  <si>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</si>
  <si>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</si>
  <si>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</si>
  <si>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</si>
  <si>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</si>
  <si>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</si>
  <si>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</si>
  <si>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</si>
  <si>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</si>
  <si>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</si>
  <si>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</si>
  <si>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</si>
  <si>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</si>
  <si>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</si>
  <si>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</si>
  <si>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</si>
  <si>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</si>
  <si>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</si>
  <si>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</si>
  <si>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</si>
  <si>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</si>
  <si>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</si>
  <si>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</si>
  <si>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</si>
  <si>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</si>
  <si>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</si>
  <si>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</si>
  <si>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</si>
  <si>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</si>
  <si>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</si>
  <si>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</si>
  <si>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</si>
  <si>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</si>
  <si>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</si>
  <si>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</si>
  <si>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</si>
  <si>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</si>
  <si>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</si>
  <si>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</si>
  <si>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</si>
  <si>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</si>
  <si>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</si>
  <si>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</si>
  <si>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</si>
  <si>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</si>
  <si>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</si>
  <si>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</si>
  <si>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</si>
  <si>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</si>
  <si>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</si>
  <si>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</si>
  <si>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</si>
  <si>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</si>
  <si>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</si>
  <si>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</si>
  <si>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</si>
  <si>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</si>
  <si>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</si>
  <si>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</si>
  <si>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</si>
  <si>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</si>
  <si>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</si>
  <si>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</si>
  <si>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</si>
  <si>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</si>
  <si>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</si>
  <si>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</si>
  <si>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</si>
  <si>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</si>
  <si>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</si>
  <si>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</si>
  <si>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</si>
  <si>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</si>
  <si>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</si>
  <si>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</si>
  <si>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</si>
  <si>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</si>
  <si>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</si>
  <si>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</si>
  <si>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</si>
  <si>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</si>
  <si>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</si>
  <si>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</si>
  <si>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</si>
  <si>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</si>
  <si>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</si>
  <si>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</si>
  <si>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</si>
  <si>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</si>
  <si>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</si>
  <si>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</si>
  <si>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</si>
  <si>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</si>
  <si>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</si>
  <si>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</si>
  <si>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</si>
  <si>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</si>
  <si>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</si>
  <si>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</si>
  <si>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</si>
  <si>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</si>
  <si>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</si>
  <si>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</si>
  <si>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</si>
  <si>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</si>
  <si>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</si>
  <si>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</si>
  <si>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</si>
  <si>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</si>
  <si>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</si>
  <si>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</si>
  <si>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</si>
  <si>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</si>
  <si>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</si>
  <si>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</si>
  <si>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</si>
  <si>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</si>
  <si>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</si>
  <si>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</si>
  <si>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</si>
  <si>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</si>
  <si>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</si>
  <si>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</si>
  <si>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</si>
  <si>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</si>
  <si>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</si>
  <si>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</si>
  <si>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</si>
  <si>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</si>
  <si>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</si>
  <si>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</si>
  <si>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</si>
  <si>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</si>
  <si>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</si>
  <si>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</si>
  <si>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</si>
  <si>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</si>
  <si>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</si>
  <si>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</si>
  <si>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</si>
  <si>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</si>
  <si>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</si>
  <si>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</si>
  <si>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</si>
  <si>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</si>
  <si>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</si>
  <si>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</si>
  <si>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</si>
  <si>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</si>
  <si>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</si>
  <si>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</si>
  <si>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</si>
  <si>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</si>
  <si>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</si>
  <si>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</si>
  <si>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</si>
  <si>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</si>
  <si>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</si>
  <si>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</si>
  <si>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</si>
  <si>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</si>
  <si>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</si>
  <si>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</si>
  <si>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</si>
  <si>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</si>
  <si>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</si>
  <si>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</si>
  <si>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</si>
  <si>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</si>
  <si>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</si>
  <si>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</si>
  <si>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</si>
  <si>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</si>
  <si>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</si>
  <si>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</si>
  <si>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</si>
  <si>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</si>
  <si>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</si>
  <si>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</si>
  <si>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</si>
  <si>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</si>
  <si>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</si>
  <si>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</si>
  <si>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</si>
  <si>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</si>
  <si>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</si>
  <si>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</si>
  <si>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</si>
  <si>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</si>
  <si>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</si>
  <si>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</si>
  <si>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</si>
  <si>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</si>
  <si>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</si>
  <si>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</si>
  <si>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</si>
  <si>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</si>
  <si>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</si>
  <si>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</si>
  <si>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</si>
  <si>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</si>
  <si>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</si>
  <si>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</si>
  <si>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</si>
  <si>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</si>
  <si>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</si>
  <si>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</si>
  <si>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</si>
  <si>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</si>
  <si>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</si>
  <si>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</si>
  <si>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</si>
  <si>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</si>
  <si>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</si>
  <si>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</si>
  <si>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</si>
  <si>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</si>
  <si>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</si>
  <si>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</si>
  <si>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</si>
  <si>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</si>
  <si>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</si>
  <si>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</si>
  <si>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</si>
  <si>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</si>
  <si>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</si>
  <si>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</si>
  <si>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</si>
  <si>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</si>
  <si>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</si>
  <si>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</si>
  <si>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</si>
  <si>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</si>
  <si>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</si>
  <si>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</si>
  <si>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</si>
  <si>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</si>
  <si>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</si>
  <si>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</si>
  <si>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</si>
  <si>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</si>
  <si>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</si>
  <si>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</si>
  <si>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</si>
  <si>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</si>
  <si>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</si>
  <si>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</si>
  <si>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</si>
  <si>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</si>
  <si>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</si>
  <si>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</si>
  <si>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</si>
  <si>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</si>
  <si>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</si>
  <si>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</si>
  <si>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</si>
  <si>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</si>
  <si>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</si>
  <si>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</si>
  <si>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</si>
  <si>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</si>
  <si>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</si>
  <si>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</si>
  <si>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</si>
  <si>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</si>
  <si>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</si>
  <si>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</si>
  <si>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</si>
  <si>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</si>
  <si>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</si>
  <si>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</si>
  <si>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</si>
  <si>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</si>
  <si>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</si>
  <si>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</si>
  <si>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</si>
  <si>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</si>
  <si>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</si>
  <si>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</si>
  <si>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</si>
  <si>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</si>
  <si>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</si>
  <si>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</si>
  <si>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</si>
  <si>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</si>
  <si>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</si>
  <si>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</si>
  <si>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</si>
  <si>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</si>
  <si>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</si>
  <si>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</si>
  <si>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</si>
  <si>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</si>
  <si>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</si>
  <si>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</si>
  <si>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</si>
  <si>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</si>
  <si>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</si>
  <si>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</si>
  <si>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</si>
  <si>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</si>
  <si>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</si>
  <si>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</si>
  <si>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</si>
  <si>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</si>
  <si>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</si>
  <si>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</si>
  <si>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</si>
  <si>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</si>
  <si>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</si>
  <si>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</si>
  <si>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</si>
  <si>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</si>
  <si>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</si>
  <si>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</si>
  <si>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</si>
  <si>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</si>
  <si>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</si>
  <si>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</si>
  <si>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</si>
  <si>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</si>
  <si>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</si>
  <si>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</si>
  <si>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</si>
  <si>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</si>
  <si>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</si>
  <si>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</si>
  <si>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</si>
  <si>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</si>
  <si>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</si>
  <si>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</si>
  <si>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</si>
  <si>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</si>
  <si>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</si>
  <si>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</si>
  <si>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</si>
  <si>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</si>
  <si>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</si>
  <si>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</si>
  <si>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</si>
  <si>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</si>
  <si>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</si>
  <si>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</si>
  <si>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</si>
  <si>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</si>
  <si>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</si>
  <si>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</si>
  <si>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</si>
  <si>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</si>
  <si>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</si>
  <si>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</si>
  <si>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</si>
  <si>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</si>
  <si>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</si>
  <si>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</si>
  <si>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</si>
  <si>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</si>
  <si>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</si>
  <si>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</si>
  <si>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</si>
  <si>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</si>
  <si>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</si>
  <si>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</si>
  <si>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</si>
  <si>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</si>
  <si>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</si>
  <si>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</si>
  <si>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</si>
  <si>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</si>
  <si>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</si>
  <si>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</si>
  <si>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</si>
  <si>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</si>
  <si>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</si>
  <si>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</si>
  <si>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</si>
  <si>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</si>
  <si>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</si>
  <si>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</si>
  <si>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</si>
  <si>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</si>
  <si>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</si>
  <si>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</si>
  <si>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</si>
  <si>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</si>
  <si>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</si>
  <si>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</si>
  <si>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</si>
  <si>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</si>
  <si>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</si>
  <si>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</si>
  <si>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</si>
  <si>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</si>
  <si>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</si>
  <si>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</si>
  <si>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</si>
  <si>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</si>
  <si>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</si>
  <si>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</si>
  <si>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</si>
  <si>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</si>
  <si>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</si>
  <si>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</si>
  <si>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</si>
  <si>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</si>
  <si>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</si>
  <si>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</si>
  <si>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</si>
  <si>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</si>
  <si>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</si>
  <si>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</si>
  <si>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</si>
  <si>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</si>
  <si>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</si>
  <si>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</si>
  <si>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</si>
  <si>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</si>
  <si>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</si>
  <si>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</si>
  <si>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</si>
  <si>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</si>
  <si>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</si>
  <si>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</si>
  <si>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</si>
  <si>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</si>
  <si>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</si>
  <si>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</si>
  <si>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</si>
  <si>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</si>
  <si>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</si>
  <si>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</si>
  <si>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</si>
  <si>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</si>
  <si>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</si>
  <si>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</si>
  <si>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</si>
  <si>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</si>
  <si>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</si>
  <si>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</si>
  <si>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</si>
  <si>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</si>
  <si>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</si>
  <si>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</si>
  <si>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</si>
  <si>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</si>
  <si>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</si>
  <si>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</si>
  <si>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</si>
  <si>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</si>
  <si>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</si>
  <si>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</si>
  <si>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</si>
  <si>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</si>
  <si>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</si>
  <si>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</si>
  <si>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</si>
  <si>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</si>
  <si>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</si>
  <si>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</si>
  <si>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</si>
  <si>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</si>
  <si>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</si>
  <si>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</si>
  <si>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</si>
  <si>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</si>
  <si>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</si>
  <si>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</si>
  <si>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</si>
  <si>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</si>
  <si>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</si>
  <si>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</si>
  <si>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</si>
  <si>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</si>
  <si>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</si>
  <si>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</si>
  <si>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</si>
  <si>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</si>
  <si>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</si>
  <si>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</si>
  <si>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</si>
  <si>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</si>
  <si>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</si>
  <si>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</si>
  <si>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</si>
  <si>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</si>
  <si>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</si>
  <si>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</si>
  <si>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</si>
  <si>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</si>
  <si>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</si>
  <si>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</si>
  <si>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</si>
  <si>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</si>
  <si>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</si>
  <si>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</si>
  <si>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</si>
  <si>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</si>
  <si>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</si>
  <si>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</si>
  <si>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</si>
  <si>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</si>
  <si>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</si>
  <si>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</si>
  <si>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</si>
  <si>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</si>
  <si>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</si>
  <si>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</si>
  <si>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</si>
  <si>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</si>
  <si>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</si>
  <si>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</si>
  <si>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</si>
  <si>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</si>
  <si>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</si>
  <si>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</si>
  <si>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</si>
  <si>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</si>
  <si>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</si>
  <si>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</si>
  <si>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</si>
  <si>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</si>
  <si>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</si>
  <si>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</si>
  <si>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</si>
  <si>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</si>
  <si>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</si>
  <si>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</si>
  <si>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</si>
  <si>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</si>
  <si>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</si>
  <si>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</si>
  <si>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</si>
  <si>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</si>
  <si>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</si>
  <si>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</si>
  <si>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</si>
  <si>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</si>
  <si>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</si>
  <si>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</si>
  <si>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</si>
  <si>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</si>
  <si>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</si>
  <si>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</si>
  <si>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</si>
  <si>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</si>
  <si>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</si>
  <si>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</si>
  <si>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</si>
  <si>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</si>
  <si>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</si>
  <si>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</si>
  <si>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</si>
  <si>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</si>
  <si>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</si>
  <si>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</si>
  <si>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</si>
  <si>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</si>
  <si>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</si>
  <si>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</si>
  <si>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</si>
  <si>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</si>
  <si>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</si>
  <si>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</si>
  <si>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</si>
  <si>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</si>
  <si>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</si>
  <si>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</si>
  <si>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</si>
  <si>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</si>
  <si>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</si>
  <si>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</si>
  <si>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</si>
  <si>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</si>
  <si>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</si>
  <si>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</si>
  <si>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</si>
  <si>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</si>
  <si>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</si>
  <si>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</si>
  <si>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</si>
  <si>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</si>
  <si>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</si>
  <si>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</si>
  <si>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</si>
  <si>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</si>
  <si>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</si>
  <si>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</si>
  <si>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</si>
  <si>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</si>
  <si>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</si>
  <si>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</si>
  <si>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</si>
  <si>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</si>
  <si>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</si>
  <si>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</si>
  <si>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</si>
  <si>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</si>
  <si>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</si>
  <si>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</si>
  <si>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</si>
  <si>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</si>
  <si>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</si>
  <si>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</si>
  <si>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</si>
  <si>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</si>
  <si>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</si>
  <si>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</si>
  <si>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</si>
  <si>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</si>
  <si>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</si>
  <si>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</si>
  <si>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</si>
  <si>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</si>
  <si>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</si>
  <si>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</si>
  <si>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</si>
  <si>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</si>
  <si>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</si>
  <si>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</si>
  <si>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</si>
  <si>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</si>
  <si>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</si>
  <si>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</si>
  <si>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</si>
  <si>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</si>
  <si>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</si>
  <si>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</si>
  <si>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</si>
  <si>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</si>
  <si>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</si>
  <si>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</si>
  <si>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</si>
  <si>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</si>
  <si>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</si>
  <si>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</si>
  <si>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</si>
  <si>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</si>
  <si>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</si>
  <si>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</si>
  <si>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</si>
  <si>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</si>
  <si>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</si>
  <si>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</si>
  <si>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</si>
  <si>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</si>
  <si>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</si>
  <si>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</si>
  <si>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</si>
  <si>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</si>
  <si>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</si>
  <si>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</si>
  <si>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</si>
  <si>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</si>
  <si>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</si>
  <si>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</si>
  <si>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</si>
  <si>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</si>
  <si>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</si>
  <si>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</si>
  <si>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</si>
  <si>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</si>
  <si>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</si>
  <si>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</si>
  <si>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</si>
  <si>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</si>
  <si>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</si>
  <si>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</si>
  <si>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</si>
  <si>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</si>
  <si>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</si>
  <si>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</si>
  <si>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</si>
  <si>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</si>
  <si>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</si>
  <si>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</si>
  <si>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</si>
  <si>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</si>
  <si>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</si>
  <si>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</si>
  <si>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</si>
  <si>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</si>
  <si>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</si>
  <si>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</si>
  <si>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</si>
  <si>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</si>
  <si>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</si>
  <si>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</si>
  <si>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</si>
  <si>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</si>
  <si>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</si>
  <si>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</si>
  <si>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</si>
  <si>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</si>
  <si>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</si>
  <si>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</si>
  <si>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</si>
  <si>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</si>
  <si>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</si>
  <si>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</si>
  <si>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</si>
  <si>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</si>
  <si>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</si>
  <si>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</si>
  <si>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</si>
  <si>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</si>
  <si>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</si>
  <si>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</si>
  <si>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</si>
  <si>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</si>
  <si>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</si>
  <si>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</si>
  <si>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</si>
  <si>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</si>
  <si>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</si>
  <si>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</si>
  <si>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</si>
  <si>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</si>
  <si>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</si>
  <si>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</si>
  <si>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</si>
  <si>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</si>
  <si>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</si>
  <si>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</si>
  <si>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</si>
  <si>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</si>
  <si>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</si>
  <si>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</si>
  <si>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</si>
  <si>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</si>
  <si>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</si>
  <si>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</si>
  <si>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</si>
  <si>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</si>
  <si>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</si>
  <si>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</si>
  <si>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</si>
  <si>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</si>
  <si>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</si>
  <si>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</si>
  <si>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</si>
  <si>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</si>
  <si>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</si>
  <si>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</si>
  <si>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</si>
  <si>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</si>
  <si>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</si>
  <si>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</si>
  <si>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</si>
  <si>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</si>
  <si>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</si>
  <si>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</si>
  <si>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</si>
  <si>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</si>
  <si>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</si>
  <si>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</si>
  <si>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</si>
  <si>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</si>
  <si>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</si>
  <si>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</si>
  <si>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</si>
  <si>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</si>
  <si>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</si>
  <si>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</si>
  <si>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</si>
  <si>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</si>
  <si>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</si>
  <si>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</si>
  <si>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</si>
  <si>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</si>
  <si>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</si>
  <si>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</si>
  <si>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</si>
  <si>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</si>
  <si>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</si>
  <si>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</si>
  <si>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</si>
  <si>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</si>
  <si>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</si>
  <si>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</si>
  <si>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</si>
  <si>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</si>
  <si>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</si>
  <si>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</si>
  <si>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</si>
  <si>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</si>
  <si>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</si>
  <si>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</si>
  <si>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</si>
  <si>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</si>
  <si>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</si>
  <si>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</si>
  <si>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</si>
  <si>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</si>
  <si>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</si>
  <si>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</si>
  <si>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</si>
  <si>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</si>
  <si>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</si>
  <si>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</si>
  <si>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</si>
  <si>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</si>
  <si>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</si>
  <si>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</si>
  <si>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</si>
  <si>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</si>
  <si>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</si>
  <si>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</si>
  <si>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</si>
  <si>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</si>
  <si>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</si>
  <si>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</si>
  <si>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</si>
  <si>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</si>
  <si>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</si>
  <si>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</si>
  <si>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</si>
  <si>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</si>
  <si>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</si>
  <si>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</si>
  <si>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</si>
  <si>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</si>
  <si>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</si>
  <si>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</si>
  <si>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</si>
  <si>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</si>
  <si>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</si>
  <si>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</si>
  <si>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</si>
  <si>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</si>
  <si>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</si>
  <si>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</si>
  <si>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</si>
  <si>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</si>
  <si>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</si>
  <si>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</si>
  <si>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</si>
  <si>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</si>
  <si>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</si>
  <si>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</si>
  <si>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</si>
  <si>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</si>
  <si>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</si>
  <si>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</si>
  <si>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</si>
  <si>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</si>
  <si>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</si>
  <si>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</si>
  <si>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</si>
  <si>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</si>
  <si>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</si>
  <si>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</si>
  <si>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</si>
  <si>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</si>
  <si>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</si>
  <si>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</si>
  <si>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</si>
  <si>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</si>
  <si>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</si>
  <si>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</si>
  <si>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</si>
  <si>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</si>
  <si>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</si>
  <si>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</si>
  <si>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</si>
  <si>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</si>
  <si>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</si>
  <si>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</si>
  <si>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</si>
  <si>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</si>
  <si>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</si>
  <si>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</si>
  <si>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</si>
  <si>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</si>
  <si>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</si>
  <si>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</si>
  <si>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</si>
  <si>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</si>
  <si>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</si>
  <si>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</si>
  <si>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</si>
  <si>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</si>
  <si>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</si>
  <si>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</si>
  <si>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</si>
  <si>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</si>
  <si>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</si>
  <si>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</si>
  <si>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</si>
  <si>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</si>
  <si>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</si>
  <si>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</si>
  <si>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</si>
  <si>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</si>
  <si>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</si>
  <si>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</si>
  <si>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</si>
  <si>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</si>
  <si>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</si>
  <si>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</si>
  <si>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</si>
  <si>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</si>
  <si>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</si>
  <si>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</si>
  <si>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</si>
  <si>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</si>
  <si>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</si>
  <si>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</si>
  <si>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</si>
  <si>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</si>
  <si>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</si>
  <si>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</si>
  <si>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</si>
  <si>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</si>
  <si>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</si>
  <si>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</si>
  <si>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</si>
  <si>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</si>
  <si>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</si>
  <si>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</si>
  <si>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</si>
  <si>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</si>
  <si>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</si>
  <si>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</si>
  <si>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</si>
  <si>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</si>
  <si>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</si>
  <si>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</si>
  <si>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</si>
  <si>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</si>
  <si>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</si>
  <si>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</si>
  <si>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</si>
  <si>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</si>
  <si>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</si>
  <si>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</si>
  <si>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</si>
  <si>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</si>
  <si>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</si>
  <si>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</si>
  <si>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</si>
  <si>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</si>
  <si>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</si>
  <si>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</si>
  <si>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</si>
  <si>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</si>
  <si>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</si>
  <si>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</si>
  <si>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</si>
  <si>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</si>
  <si>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</si>
  <si>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</si>
  <si>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</si>
  <si>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</si>
  <si>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</si>
  <si>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</si>
  <si>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</si>
  <si>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</si>
  <si>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</si>
  <si>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</si>
  <si>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</si>
  <si>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</si>
  <si>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</si>
  <si>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</si>
  <si>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</si>
  <si>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</si>
  <si>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</si>
  <si>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</si>
  <si>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</si>
  <si>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</si>
  <si>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</si>
  <si>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</si>
  <si>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</si>
  <si>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</si>
  <si>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</si>
  <si>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</si>
  <si>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</si>
  <si>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</si>
  <si>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</si>
  <si>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</si>
  <si>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</si>
  <si>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</si>
  <si>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</si>
  <si>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</si>
  <si>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</si>
  <si>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</si>
  <si>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</si>
  <si>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</si>
  <si>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</si>
  <si>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</si>
  <si>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</si>
  <si>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</si>
  <si>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</si>
  <si>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</si>
  <si>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</si>
  <si>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</si>
  <si>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</si>
  <si>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</si>
  <si>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</si>
  <si>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</si>
  <si>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</si>
  <si>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</si>
  <si>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</si>
  <si>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</si>
  <si>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</si>
  <si>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</si>
  <si>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</si>
  <si>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</si>
  <si>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</si>
  <si>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</si>
  <si>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</si>
  <si>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</si>
  <si>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</si>
  <si>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</si>
  <si>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</si>
  <si>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</si>
  <si>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</si>
  <si>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</si>
  <si>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</si>
  <si>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</si>
  <si>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</si>
  <si>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</si>
  <si>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</si>
  <si>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</si>
  <si>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</si>
  <si>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</si>
  <si>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</si>
  <si>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</si>
  <si>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</si>
  <si>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</si>
  <si>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</si>
  <si>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</si>
  <si>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</si>
  <si>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</si>
  <si>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</si>
  <si>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</si>
  <si>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</si>
  <si>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</si>
  <si>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</si>
  <si>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</si>
  <si>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</si>
  <si>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</si>
  <si>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</si>
  <si>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</si>
  <si>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</si>
  <si>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</si>
  <si>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</si>
  <si>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</si>
  <si>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</si>
  <si>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</si>
  <si>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</si>
  <si>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</si>
  <si>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</si>
  <si>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</si>
  <si>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</si>
  <si>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</si>
  <si>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</si>
  <si>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</si>
  <si>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</si>
  <si>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</si>
  <si>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</si>
  <si>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</si>
  <si>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</si>
  <si>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</si>
  <si>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</si>
  <si>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</si>
  <si>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</si>
  <si>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</si>
  <si>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</si>
  <si>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</si>
  <si>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</si>
  <si>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</si>
  <si>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</si>
  <si>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</si>
  <si>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</si>
  <si>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</si>
  <si>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</si>
  <si>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</si>
  <si>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</si>
  <si>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</si>
  <si>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</si>
  <si>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</si>
  <si>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</si>
  <si>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</si>
  <si>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</si>
  <si>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</si>
  <si>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</si>
  <si>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</si>
  <si>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</si>
  <si>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</si>
  <si>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</si>
  <si>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</si>
  <si>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</si>
  <si>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</si>
  <si>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</si>
  <si>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</si>
  <si>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</si>
  <si>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</si>
  <si>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</si>
  <si>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</si>
  <si>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</si>
  <si>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</si>
  <si>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</si>
  <si>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</si>
  <si>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</si>
  <si>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</si>
  <si>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</si>
  <si>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</si>
  <si>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</si>
  <si>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</si>
  <si>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</si>
  <si>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</si>
  <si>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</si>
  <si>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</si>
  <si>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</si>
  <si>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</si>
  <si>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</si>
  <si>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</si>
  <si>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</si>
  <si>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</si>
  <si>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</si>
  <si>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</si>
  <si>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</si>
  <si>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</si>
  <si>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</si>
  <si>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</si>
  <si>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</si>
  <si>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</si>
  <si>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</si>
  <si>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</si>
  <si>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</si>
  <si>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</si>
  <si>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</si>
  <si>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</si>
  <si>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</si>
  <si>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</si>
  <si>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</si>
  <si>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</si>
  <si>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</si>
  <si>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</si>
  <si>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</si>
  <si>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</si>
  <si>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</si>
  <si>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</si>
  <si>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</si>
  <si>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</si>
  <si>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</si>
  <si>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</si>
  <si>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</si>
  <si>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</si>
  <si>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</si>
  <si>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</si>
  <si>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</si>
  <si>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</si>
  <si>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</si>
  <si>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</si>
  <si>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</si>
  <si>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</si>
  <si>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</si>
  <si>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</si>
  <si>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</si>
  <si>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</si>
  <si>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</si>
  <si>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</si>
  <si>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</si>
  <si>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</si>
  <si>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</si>
  <si>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</si>
  <si>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</si>
  <si>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</si>
  <si>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</si>
  <si>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</si>
  <si>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</si>
  <si>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</si>
  <si>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</si>
  <si>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</si>
  <si>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</si>
  <si>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</si>
  <si>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</si>
  <si>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</si>
  <si>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</si>
  <si>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</si>
  <si>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</si>
  <si>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</si>
  <si>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</si>
  <si>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</si>
  <si>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</si>
  <si>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</si>
  <si>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</si>
  <si>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</si>
  <si>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</si>
  <si>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</si>
  <si>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</si>
  <si>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</si>
  <si>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</si>
  <si>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</si>
  <si>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</si>
  <si>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</si>
  <si>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</si>
  <si>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</si>
  <si>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</si>
  <si>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</si>
  <si>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</si>
  <si>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</si>
  <si>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</si>
  <si>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</si>
  <si>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</si>
  <si>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</si>
  <si>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</si>
  <si>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</si>
  <si>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</si>
  <si>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</si>
  <si>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</si>
  <si>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</si>
  <si>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</si>
  <si>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</si>
  <si>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</si>
  <si>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</si>
  <si>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</si>
  <si>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</si>
  <si>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</si>
  <si>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</si>
  <si>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</si>
  <si>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</si>
  <si>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</si>
  <si>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</si>
  <si>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</si>
  <si>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</si>
  <si>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</si>
  <si>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</si>
  <si>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</si>
  <si>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</si>
  <si>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</si>
  <si>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</si>
  <si>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</si>
  <si>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</si>
  <si>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</si>
  <si>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</si>
  <si>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</si>
  <si>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</si>
  <si>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</si>
  <si>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</si>
  <si>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</si>
  <si>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</si>
  <si>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</si>
  <si>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</si>
  <si>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</si>
  <si>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</si>
  <si>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</si>
  <si>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</si>
  <si>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</si>
  <si>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</si>
  <si>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</si>
  <si>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</si>
  <si>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</si>
  <si>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</si>
  <si>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</si>
  <si>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</si>
  <si>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</si>
  <si>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</si>
  <si>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</si>
  <si>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</si>
  <si>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</si>
  <si>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</si>
  <si>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</si>
  <si>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</si>
  <si>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</si>
  <si>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</si>
  <si>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</si>
  <si>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</si>
  <si>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</si>
  <si>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</si>
  <si>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</si>
  <si>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</si>
  <si>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</si>
  <si>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</si>
  <si>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</si>
  <si>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</si>
  <si>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</si>
  <si>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</si>
  <si>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</si>
  <si>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</si>
  <si>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</si>
  <si>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</si>
  <si>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</si>
  <si>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</si>
  <si>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</si>
  <si>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</si>
  <si>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</si>
  <si>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</si>
  <si>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</si>
  <si>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</si>
  <si>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</si>
  <si>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</si>
  <si>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</si>
  <si>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</si>
  <si>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</si>
  <si>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</si>
  <si>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</si>
  <si>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</si>
  <si>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</si>
  <si>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</si>
  <si>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</si>
  <si>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</si>
  <si>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</si>
  <si>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</si>
  <si>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</si>
  <si>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</si>
  <si>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</si>
  <si>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</si>
  <si>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</si>
  <si>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</si>
  <si>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</si>
  <si>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</si>
  <si>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</si>
  <si>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</si>
  <si>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</si>
  <si>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</si>
  <si>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</si>
  <si>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</si>
  <si>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</si>
  <si>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</si>
  <si>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</si>
  <si>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</si>
  <si>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</si>
  <si>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</si>
  <si>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</si>
  <si>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</si>
  <si>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</si>
  <si>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</si>
  <si>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</si>
  <si>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</si>
  <si>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</si>
  <si>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</si>
  <si>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</si>
  <si>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</si>
  <si>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</si>
  <si>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</si>
  <si>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</si>
  <si>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</si>
  <si>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</si>
  <si>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</si>
  <si>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</si>
  <si>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</si>
  <si>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</si>
  <si>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</si>
  <si>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</si>
  <si>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</si>
  <si>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</si>
  <si>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</si>
  <si>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</si>
  <si>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</si>
  <si>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</si>
  <si>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</si>
  <si>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</si>
  <si>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</si>
  <si>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</si>
  <si>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</si>
  <si>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</si>
  <si>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</si>
  <si>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</si>
  <si>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</si>
  <si>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</si>
  <si>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</si>
  <si>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</si>
  <si>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</si>
  <si>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</si>
  <si>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</si>
  <si>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</si>
  <si>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</si>
  <si>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</si>
  <si>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</si>
  <si>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</si>
  <si>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</si>
  <si>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</si>
  <si>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</si>
  <si>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</si>
  <si>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</si>
  <si>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</si>
  <si>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</si>
  <si>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</si>
  <si>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</si>
  <si>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</si>
  <si>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</si>
  <si>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</si>
  <si>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</si>
  <si>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</si>
  <si>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</si>
  <si>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</si>
  <si>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</si>
  <si>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</si>
  <si>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</si>
  <si>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</si>
  <si>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</si>
  <si>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</si>
  <si>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</si>
  <si>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</si>
  <si>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</si>
  <si>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</si>
  <si>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</si>
  <si>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</si>
  <si>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</si>
  <si>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</si>
  <si>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</si>
  <si>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</si>
  <si>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</si>
  <si>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</si>
  <si>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</si>
  <si>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</si>
  <si>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</si>
  <si>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</si>
  <si>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</si>
  <si>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</si>
  <si>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</si>
  <si>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</si>
  <si>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</si>
  <si>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</si>
  <si>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</si>
  <si>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</si>
  <si>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</si>
  <si>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</si>
  <si>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</si>
  <si>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</si>
  <si>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</si>
  <si>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</si>
  <si>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</si>
  <si>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</si>
  <si>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</si>
  <si>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</si>
  <si>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</si>
  <si>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</si>
  <si>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</si>
  <si>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</si>
  <si>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</si>
  <si>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</si>
  <si>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</si>
  <si>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</si>
  <si>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</si>
  <si>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</si>
  <si>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</si>
  <si>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</si>
  <si>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</si>
  <si>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</si>
  <si>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</si>
  <si>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</si>
  <si>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</si>
  <si>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</si>
  <si>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</si>
  <si>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</si>
  <si>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</si>
  <si>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</si>
  <si>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</si>
  <si>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</si>
  <si>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</si>
  <si>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</si>
  <si>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</si>
  <si>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</si>
  <si>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</si>
  <si>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</si>
  <si>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</si>
  <si>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</si>
  <si>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</si>
  <si>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</si>
  <si>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</si>
  <si>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</si>
  <si>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</si>
  <si>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</si>
  <si>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</si>
  <si>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</si>
  <si>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</si>
  <si>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</si>
  <si>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</si>
  <si>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</si>
  <si>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</si>
  <si>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</si>
  <si>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</si>
  <si>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</si>
  <si>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</si>
  <si>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</si>
  <si>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</si>
  <si>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</si>
  <si>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</si>
  <si>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</si>
  <si>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</si>
  <si>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</si>
  <si>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</si>
  <si>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</si>
  <si>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</si>
  <si>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</si>
  <si>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</si>
  <si>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</si>
  <si>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</si>
  <si>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</si>
  <si>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</si>
  <si>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</si>
  <si>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</si>
  <si>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</si>
  <si>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</si>
  <si>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</si>
  <si>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</si>
  <si>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</si>
  <si>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</si>
  <si>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</si>
  <si>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</si>
  <si>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</si>
  <si>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</si>
  <si>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</si>
  <si>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</si>
  <si>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</si>
  <si>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</si>
  <si>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</si>
  <si>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</si>
  <si>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</si>
  <si>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</si>
  <si>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</si>
  <si>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</si>
  <si>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</si>
  <si>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</si>
  <si>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</si>
  <si>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</si>
  <si>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</si>
  <si>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</si>
  <si>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</si>
  <si>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</si>
  <si>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</si>
  <si>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</si>
  <si>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</si>
  <si>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</si>
  <si>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</si>
  <si>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</si>
  <si>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</si>
  <si>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</si>
  <si>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</si>
  <si>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</si>
  <si>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</si>
  <si>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</si>
  <si>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</si>
  <si>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</si>
  <si>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</si>
  <si>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</si>
  <si>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</si>
  <si>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</si>
  <si>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</si>
  <si>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</si>
  <si>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</si>
  <si>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</si>
  <si>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</si>
  <si>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</si>
  <si>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</si>
  <si>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</si>
  <si>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</si>
  <si>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</si>
  <si>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</si>
  <si>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</si>
  <si>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</si>
  <si>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</si>
  <si>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</si>
  <si>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</si>
  <si>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</si>
  <si>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</si>
  <si>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</si>
  <si>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</si>
  <si>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</si>
  <si>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</si>
  <si>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</si>
  <si>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</si>
  <si>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</si>
  <si>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</si>
  <si>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</si>
  <si>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</si>
  <si>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</si>
  <si>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</si>
  <si>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</si>
  <si>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</si>
  <si>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</si>
  <si>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</si>
  <si>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</si>
  <si>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</si>
  <si>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</si>
  <si>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</si>
  <si>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</si>
  <si>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</si>
  <si>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</si>
  <si>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</si>
  <si>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</si>
  <si>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</si>
  <si>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</si>
  <si>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</si>
  <si>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</si>
  <si>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</si>
  <si>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</si>
  <si>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</si>
  <si>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</si>
  <si>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</si>
  <si>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</si>
  <si>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</si>
  <si>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</si>
  <si>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</si>
  <si>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</si>
  <si>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</si>
  <si>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</si>
  <si>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</si>
  <si>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</si>
  <si>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</si>
  <si>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</si>
  <si>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</si>
  <si>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</si>
  <si>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</si>
  <si>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</si>
  <si>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</si>
  <si>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</si>
  <si>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</si>
  <si>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</si>
  <si>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</si>
  <si>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</si>
  <si>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</si>
  <si>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</si>
  <si>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</si>
  <si>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</si>
  <si>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</si>
  <si>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</si>
  <si>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</si>
  <si>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</si>
  <si>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</si>
  <si>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</si>
  <si>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</si>
  <si>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</si>
  <si>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</si>
  <si>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</si>
  <si>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</si>
  <si>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</si>
  <si>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</si>
  <si>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</si>
  <si>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</si>
  <si>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</si>
  <si>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</si>
  <si>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</si>
  <si>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</si>
  <si>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</si>
  <si>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</si>
  <si>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</si>
  <si>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</si>
  <si>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</si>
  <si>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</si>
  <si>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</si>
  <si>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</si>
  <si>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</si>
  <si>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</si>
  <si>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</si>
  <si>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</si>
  <si>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</si>
  <si>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</si>
  <si>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</si>
  <si>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</si>
  <si>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</si>
  <si>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</si>
  <si>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</si>
  <si>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</si>
  <si>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</si>
  <si>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</si>
  <si>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</si>
  <si>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</si>
  <si>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</si>
  <si>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</si>
  <si>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</si>
  <si>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</si>
  <si>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</si>
  <si>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</si>
  <si>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</si>
  <si>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</si>
  <si>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</si>
  <si>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</si>
  <si>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</si>
  <si>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</si>
  <si>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</si>
  <si>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</si>
  <si>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</si>
  <si>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</si>
  <si>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</si>
  <si>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</si>
  <si>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</si>
  <si>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</si>
  <si>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</si>
  <si>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</si>
  <si>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</si>
  <si>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</si>
  <si>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</si>
  <si>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</si>
  <si>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</si>
  <si>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</si>
  <si>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</si>
  <si>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</si>
  <si>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</si>
  <si>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</si>
  <si>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</si>
  <si>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</si>
  <si>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</si>
  <si>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</si>
  <si>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</si>
  <si>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</si>
  <si>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</si>
  <si>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</si>
  <si>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</si>
  <si>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</si>
  <si>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</si>
  <si>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</si>
  <si>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</si>
  <si>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</si>
  <si>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</si>
  <si>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</si>
  <si>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</si>
  <si>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</si>
  <si>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</si>
  <si>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</si>
  <si>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</si>
  <si>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</si>
  <si>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</si>
  <si>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</si>
  <si>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</si>
  <si>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</si>
  <si>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</si>
  <si>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</si>
  <si>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</si>
  <si>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</si>
  <si>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</si>
  <si>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</si>
  <si>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</si>
  <si>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</si>
  <si>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</si>
  <si>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</si>
  <si>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</si>
  <si>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</si>
  <si>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</si>
  <si>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</si>
  <si>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</si>
  <si>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</si>
  <si>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</si>
  <si>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</si>
  <si>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</si>
  <si>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</si>
  <si>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</si>
  <si>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</si>
  <si>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</si>
  <si>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</si>
  <si>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</si>
  <si>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</si>
  <si>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</si>
  <si>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</si>
  <si>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</si>
  <si>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</si>
  <si>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</si>
  <si>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</si>
  <si>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</si>
  <si>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</si>
  <si>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</si>
  <si>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</si>
  <si>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</si>
  <si>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</si>
  <si>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</si>
  <si>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</si>
  <si>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</si>
  <si>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</si>
  <si>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</si>
  <si>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</si>
  <si>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</si>
  <si>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</si>
  <si>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</si>
  <si>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</si>
  <si>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</si>
  <si>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</si>
  <si>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</si>
  <si>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</si>
  <si>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</si>
  <si>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</si>
  <si>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</si>
  <si>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</si>
  <si>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</si>
  <si>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</si>
  <si>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</si>
  <si>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</si>
  <si>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</si>
  <si>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</si>
  <si>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</si>
  <si>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</si>
  <si>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</si>
  <si>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</si>
  <si>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</si>
  <si>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</si>
  <si>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</si>
  <si>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</si>
  <si>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</si>
  <si>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</si>
  <si>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</si>
  <si>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</si>
  <si>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</si>
  <si>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</si>
  <si>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</si>
  <si>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</si>
  <si>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</si>
  <si>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</si>
  <si>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</si>
  <si>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</si>
  <si>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</si>
  <si>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</si>
  <si>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</si>
  <si>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</si>
  <si>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</si>
  <si>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</si>
  <si>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</si>
  <si>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</si>
  <si>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</si>
  <si>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</si>
  <si>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</si>
  <si>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</si>
  <si>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</si>
  <si>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</si>
  <si>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</si>
  <si>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</si>
  <si>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</si>
  <si>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</si>
  <si>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</si>
  <si>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</si>
  <si>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</si>
  <si>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</si>
  <si>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</si>
  <si>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</si>
  <si>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</si>
  <si>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</si>
  <si>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</si>
  <si>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</si>
  <si>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</si>
  <si>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</si>
  <si>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</si>
  <si>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</si>
  <si>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</si>
  <si>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</si>
  <si>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</si>
  <si>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</si>
  <si>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</si>
  <si>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</si>
  <si>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</si>
  <si>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</si>
  <si>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</si>
  <si>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</si>
  <si>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</si>
  <si>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</si>
  <si>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</si>
  <si>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</si>
  <si>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</si>
  <si>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</si>
  <si>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</si>
  <si>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</si>
  <si>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</si>
  <si>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</si>
  <si>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</si>
  <si>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</si>
  <si>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</si>
  <si>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</si>
  <si>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</si>
  <si>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</si>
  <si>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</si>
  <si>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</si>
  <si>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</si>
  <si>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</si>
  <si>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</si>
  <si>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</si>
  <si>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</si>
  <si>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</si>
  <si>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</si>
  <si>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</si>
  <si>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</si>
  <si>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</si>
  <si>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</si>
  <si>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</si>
  <si>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</si>
  <si>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</si>
  <si>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</si>
  <si>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</si>
  <si>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</si>
  <si>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</si>
  <si>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</si>
  <si>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</si>
  <si>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</si>
  <si>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</si>
  <si>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</si>
  <si>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</si>
  <si>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</si>
  <si>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</si>
  <si>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</si>
  <si>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</si>
  <si>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</si>
  <si>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</si>
  <si>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</si>
  <si>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</si>
  <si>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</si>
  <si>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</si>
  <si>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</si>
  <si>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</si>
  <si>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</si>
  <si>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</si>
  <si>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</si>
  <si>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</si>
  <si>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</si>
  <si>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</si>
  <si>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</si>
  <si>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</si>
  <si>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</si>
  <si>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</si>
  <si>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</si>
  <si>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</si>
  <si>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</si>
  <si>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</si>
  <si>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</si>
  <si>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</si>
  <si>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</si>
  <si>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</si>
  <si>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</si>
  <si>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</si>
  <si>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</si>
  <si>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</si>
  <si>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</si>
  <si>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</si>
  <si>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</si>
  <si>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</si>
  <si>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</si>
  <si>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</si>
  <si>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</si>
  <si>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</si>
  <si>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</si>
  <si>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</si>
  <si>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</si>
  <si>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</si>
  <si>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</si>
  <si>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</si>
  <si>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</si>
  <si>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</si>
  <si>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</si>
  <si>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</si>
  <si>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</si>
  <si>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</si>
  <si>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</si>
  <si>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</si>
  <si>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</si>
  <si>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</si>
  <si>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</si>
  <si>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</si>
  <si>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</si>
  <si>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</si>
  <si>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</si>
  <si>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</si>
  <si>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</si>
  <si>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</si>
  <si>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</si>
  <si>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</si>
  <si>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</si>
  <si>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</si>
  <si>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</si>
  <si>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</si>
  <si>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</si>
  <si>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</si>
  <si>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</si>
  <si>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</si>
  <si>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</si>
  <si>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</si>
  <si>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</si>
  <si>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</si>
  <si>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</si>
  <si>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</si>
  <si>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</si>
  <si>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</si>
  <si>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</si>
  <si>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</si>
  <si>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</si>
  <si>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</si>
  <si>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</si>
  <si>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</si>
  <si>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</si>
  <si>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</si>
  <si>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</si>
  <si>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</si>
  <si>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</si>
  <si>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</si>
  <si>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</si>
  <si>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</si>
  <si>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</si>
  <si>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</si>
  <si>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</si>
  <si>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</si>
  <si>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</si>
  <si>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</si>
  <si>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</si>
  <si>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</si>
  <si>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</si>
  <si>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</si>
  <si>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</si>
  <si>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</si>
  <si>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</si>
  <si>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</si>
  <si>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</si>
  <si>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</si>
  <si>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</si>
  <si>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</si>
  <si>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</si>
  <si>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</si>
  <si>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</si>
  <si>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</si>
  <si>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</si>
  <si>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</si>
  <si>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</si>
  <si>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</si>
  <si>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</si>
  <si>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</si>
  <si>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</si>
  <si>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</si>
  <si>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</si>
  <si>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</si>
  <si>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</si>
  <si>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</si>
  <si>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</si>
  <si>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</si>
  <si>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</si>
  <si>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</si>
  <si>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</si>
  <si>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</si>
  <si>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</si>
  <si>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</si>
  <si>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</si>
  <si>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</si>
  <si>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</si>
  <si>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</si>
  <si>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</si>
  <si>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</si>
  <si>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</si>
  <si>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</si>
  <si>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</si>
  <si>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</si>
  <si>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</si>
  <si>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</si>
  <si>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</si>
  <si>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</si>
  <si>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</si>
  <si>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</si>
  <si>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</si>
  <si>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</si>
  <si>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</si>
  <si>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</si>
  <si>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</si>
  <si>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</si>
  <si>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</si>
  <si>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</si>
  <si>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</si>
  <si>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</si>
  <si>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</si>
  <si>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</si>
  <si>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</si>
  <si>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</si>
  <si>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</si>
  <si>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</si>
  <si>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</si>
  <si>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</si>
  <si>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</si>
  <si>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</si>
  <si>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</si>
  <si>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</si>
  <si>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</si>
  <si>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</si>
  <si>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</si>
  <si>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</si>
  <si>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</si>
  <si>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</si>
  <si>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</si>
  <si>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</si>
  <si>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</si>
  <si>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</si>
  <si>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</si>
  <si>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</si>
  <si>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</si>
  <si>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</si>
  <si>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</si>
  <si>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</si>
  <si>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</si>
  <si>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</si>
  <si>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</si>
  <si>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</si>
  <si>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</si>
  <si>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</si>
  <si>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</si>
  <si>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</si>
  <si>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</si>
  <si>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</si>
  <si>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</si>
  <si>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</si>
  <si>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</si>
  <si>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</si>
  <si>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</si>
  <si>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</si>
  <si>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</si>
  <si>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</si>
  <si>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</si>
  <si>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</si>
  <si>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</si>
  <si>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</si>
  <si>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</si>
  <si>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</si>
  <si>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</si>
  <si>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</si>
  <si>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</si>
  <si>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</si>
  <si>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</si>
  <si>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</si>
  <si>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</si>
  <si>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</si>
  <si>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</si>
  <si>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</si>
  <si>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</si>
  <si>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</si>
  <si>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</si>
  <si>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</si>
  <si>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</si>
  <si>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</si>
  <si>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</si>
  <si>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</si>
  <si>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</si>
  <si>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</si>
  <si>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</si>
  <si>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</si>
  <si>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</si>
  <si>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</si>
  <si>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</si>
  <si>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</si>
  <si>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</si>
  <si>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</si>
  <si>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</si>
  <si>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</si>
  <si>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</si>
  <si>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</si>
  <si>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</si>
  <si>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</si>
  <si>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</si>
  <si>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</si>
  <si>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</si>
  <si>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</si>
  <si>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</si>
  <si>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</si>
  <si>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</si>
  <si>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</si>
  <si>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</si>
  <si>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</si>
  <si>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</si>
  <si>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</si>
  <si>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</si>
  <si>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</si>
  <si>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</si>
  <si>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</si>
  <si>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</si>
  <si>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</si>
  <si>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</si>
  <si>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</si>
  <si>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</si>
  <si>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</si>
  <si>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</si>
  <si>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</si>
  <si>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</si>
  <si>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</si>
  <si>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</si>
  <si>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</si>
  <si>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</si>
  <si>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</si>
  <si>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</si>
  <si>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</si>
  <si>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</si>
  <si>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</si>
  <si>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</si>
  <si>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</si>
  <si>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</si>
  <si>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</si>
  <si>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</si>
  <si>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</si>
  <si>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</si>
  <si>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</si>
  <si>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</si>
  <si>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</si>
  <si>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</si>
  <si>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</si>
  <si>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</si>
  <si>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</si>
  <si>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</si>
  <si>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</si>
  <si>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</si>
  <si>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</si>
  <si>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</si>
  <si>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</si>
  <si>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</si>
  <si>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</si>
  <si>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</si>
  <si>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</si>
  <si>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</si>
  <si>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</si>
  <si>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</si>
  <si>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</si>
  <si>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</si>
  <si>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</si>
  <si>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</si>
  <si>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</si>
  <si>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</si>
  <si>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</si>
  <si>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</si>
  <si>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</si>
  <si>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</si>
  <si>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</si>
  <si>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</si>
  <si>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</si>
  <si>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</si>
  <si>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</si>
  <si>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</si>
  <si>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</si>
  <si>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</si>
  <si>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</si>
  <si>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</si>
  <si>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</si>
  <si>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</si>
  <si>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</si>
  <si>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</si>
  <si>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</si>
  <si>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</si>
  <si>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</si>
  <si>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</si>
  <si>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</si>
  <si>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</si>
  <si>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</si>
  <si>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</si>
  <si>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</si>
  <si>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</si>
  <si>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</si>
  <si>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</si>
  <si>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</si>
  <si>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</si>
  <si>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</si>
  <si>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</si>
  <si>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</si>
  <si>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</si>
  <si>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</si>
  <si>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</si>
  <si>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</si>
  <si>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</si>
  <si>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</si>
  <si>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</si>
  <si>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</si>
  <si>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</si>
  <si>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</si>
  <si>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</si>
  <si>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</si>
  <si>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</si>
  <si>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</si>
  <si>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</si>
  <si>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</si>
  <si>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</si>
  <si>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</si>
  <si>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</si>
  <si>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</si>
  <si>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</si>
  <si>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</si>
  <si>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</si>
  <si>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</si>
  <si>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</si>
  <si>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</si>
  <si>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</si>
  <si>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</si>
  <si>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</si>
  <si>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</si>
  <si>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</si>
  <si>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</si>
  <si>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</si>
  <si>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</si>
  <si>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</si>
  <si>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</si>
  <si>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</si>
  <si>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</si>
  <si>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</si>
  <si>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</si>
  <si>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</si>
  <si>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</si>
  <si>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</si>
  <si>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</si>
  <si>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</si>
  <si>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</si>
  <si>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</si>
  <si>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</si>
  <si>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</si>
  <si>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</si>
  <si>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</si>
  <si>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</si>
  <si>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</si>
  <si>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</si>
  <si>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</si>
  <si>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</si>
  <si>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</si>
  <si>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</si>
  <si>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</si>
  <si>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</si>
  <si>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</si>
  <si>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</si>
  <si>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</si>
  <si>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</si>
  <si>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</si>
  <si>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</si>
  <si>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</si>
  <si>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</si>
  <si>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</si>
  <si>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</si>
  <si>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</si>
  <si>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</si>
  <si>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</si>
  <si>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</si>
  <si>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</si>
  <si>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</si>
  <si>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</si>
  <si>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</si>
  <si>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</si>
  <si>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</si>
  <si>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</si>
  <si>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</si>
  <si>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</si>
  <si>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</si>
  <si>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</si>
  <si>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</si>
  <si>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</si>
  <si>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</si>
  <si>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</si>
  <si>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</si>
  <si>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</si>
  <si>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</si>
  <si>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</si>
  <si>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</si>
  <si>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</si>
  <si>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</si>
  <si>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</si>
  <si>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</si>
  <si>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</si>
  <si>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</si>
  <si>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</si>
  <si>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</si>
  <si>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</si>
  <si>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</si>
  <si>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</si>
  <si>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</si>
  <si>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</si>
  <si>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</si>
  <si>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</si>
  <si>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</si>
  <si>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</si>
  <si>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</si>
  <si>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</si>
  <si>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</si>
  <si>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</si>
  <si>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</si>
  <si>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</si>
  <si>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</si>
  <si>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</si>
  <si>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</si>
  <si>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</si>
  <si>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</si>
  <si>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</si>
  <si>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</si>
  <si>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</si>
  <si>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</si>
  <si>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</si>
  <si>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</si>
  <si>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</si>
  <si>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</si>
  <si>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</si>
  <si>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</si>
  <si>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</si>
  <si>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</si>
  <si>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</si>
  <si>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</si>
  <si>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</si>
  <si>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</si>
  <si>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</si>
  <si>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</si>
  <si>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</si>
  <si>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</si>
  <si>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</si>
  <si>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</si>
  <si>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</si>
  <si>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</si>
  <si>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</si>
  <si>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</si>
  <si>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</si>
  <si>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</si>
  <si>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</si>
  <si>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</si>
  <si>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</si>
  <si>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</si>
  <si>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</si>
  <si>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</si>
  <si>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</si>
  <si>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</si>
  <si>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</si>
  <si>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</si>
  <si>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</si>
  <si>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</si>
  <si>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</si>
  <si>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</si>
  <si>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</si>
  <si>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</si>
  <si>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</si>
  <si>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</si>
  <si>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</si>
  <si>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</si>
  <si>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</si>
  <si>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</si>
  <si>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</si>
  <si>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</si>
  <si>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</si>
  <si>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</si>
  <si>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</si>
  <si>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</si>
  <si>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</si>
  <si>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</si>
  <si>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</si>
  <si>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</si>
  <si>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</si>
  <si>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</si>
  <si>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</si>
  <si>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</si>
  <si>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</si>
  <si>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</si>
  <si>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</si>
  <si>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</si>
  <si>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</si>
  <si>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</si>
  <si>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</si>
  <si>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</si>
  <si>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</si>
  <si>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</si>
  <si>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</si>
  <si>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</si>
  <si>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</si>
  <si>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</si>
  <si>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</si>
  <si>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</si>
  <si>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</si>
  <si>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</si>
  <si>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</si>
  <si>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</si>
  <si>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</si>
  <si>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</si>
  <si>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</si>
  <si>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</si>
  <si>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</si>
  <si>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</si>
  <si>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</si>
  <si>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</si>
  <si>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</si>
  <si>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</si>
  <si>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</si>
  <si>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</si>
  <si>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</si>
  <si>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</si>
  <si>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</si>
  <si>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</si>
  <si>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</si>
  <si>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</si>
  <si>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</si>
  <si>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</si>
  <si>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</si>
  <si>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</si>
  <si>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</si>
  <si>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</si>
  <si>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</si>
  <si>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</si>
  <si>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</si>
  <si>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</si>
  <si>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</si>
  <si>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</si>
  <si>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</si>
  <si>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</si>
  <si>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</si>
  <si>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</si>
  <si>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</si>
  <si>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</si>
  <si>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</si>
  <si>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</si>
  <si>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</si>
  <si>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</si>
  <si>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</si>
  <si>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</si>
  <si>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</si>
  <si>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</si>
  <si>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</si>
  <si>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</si>
  <si>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</si>
  <si>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</si>
  <si>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</si>
  <si>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</si>
  <si>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</si>
  <si>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</si>
  <si>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</si>
  <si>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</si>
  <si>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</si>
  <si>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</si>
  <si>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</si>
  <si>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</si>
  <si>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</si>
  <si>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</si>
  <si>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</si>
  <si>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</si>
  <si>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</si>
  <si>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</si>
  <si>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</si>
  <si>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</si>
  <si>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</si>
  <si>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</si>
  <si>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</si>
  <si>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</si>
  <si>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</si>
  <si>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</si>
  <si>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</si>
  <si>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</si>
  <si>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</si>
  <si>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</si>
  <si>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</si>
  <si>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</si>
  <si>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</si>
  <si>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</si>
  <si>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</si>
  <si>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</si>
  <si>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</si>
  <si>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</si>
  <si>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</si>
  <si>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</si>
  <si>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</si>
  <si>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</si>
  <si>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</si>
  <si>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</si>
  <si>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</si>
  <si>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</si>
  <si>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</si>
  <si>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</si>
  <si>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</si>
  <si>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</si>
  <si>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</si>
  <si>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</si>
  <si>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</si>
  <si>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</si>
  <si>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</si>
  <si>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</si>
  <si>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</si>
  <si>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</si>
  <si>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</si>
  <si>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</si>
  <si>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</si>
  <si>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</si>
  <si>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</si>
  <si>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</si>
  <si>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</si>
  <si>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</si>
  <si>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</si>
  <si>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</si>
  <si>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</si>
  <si>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</si>
  <si>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</si>
  <si>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</si>
  <si>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</si>
  <si>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</si>
  <si>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</si>
  <si>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</si>
  <si>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</si>
  <si>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</si>
  <si>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</si>
  <si>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</si>
  <si>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</si>
  <si>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</si>
  <si>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</si>
  <si>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</si>
  <si>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</si>
  <si>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</si>
  <si>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</si>
  <si>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</si>
  <si>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</si>
  <si>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</si>
  <si>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</si>
  <si>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</si>
  <si>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</si>
  <si>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</si>
  <si>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</si>
  <si>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</si>
  <si>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</si>
  <si>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</si>
  <si>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</si>
  <si>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</si>
  <si>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</si>
  <si>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</si>
  <si>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</si>
  <si>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</si>
  <si>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</si>
  <si>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</si>
  <si>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</si>
  <si>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</si>
  <si>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</si>
  <si>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</si>
  <si>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</si>
  <si>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</si>
  <si>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</si>
  <si>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</si>
  <si>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</si>
  <si>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</si>
  <si>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</si>
  <si>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</si>
  <si>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</si>
  <si>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</si>
  <si>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</si>
  <si>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</si>
  <si>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</si>
  <si>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</si>
  <si>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</si>
  <si>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</si>
  <si>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</si>
  <si>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</si>
  <si>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</si>
  <si>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</si>
  <si>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</si>
  <si>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</si>
  <si>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</si>
  <si>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</si>
  <si>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</si>
  <si>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</si>
  <si>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</si>
  <si>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</si>
  <si>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</si>
  <si>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</si>
  <si>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</si>
  <si>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</si>
  <si>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</si>
  <si>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</si>
  <si>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</si>
  <si>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</si>
  <si>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</si>
  <si>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</si>
  <si>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</si>
  <si>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</si>
  <si>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</si>
  <si>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</si>
  <si>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</si>
  <si>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</si>
  <si>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</si>
  <si>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</si>
  <si>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</si>
  <si>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</si>
  <si>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</si>
  <si>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</si>
  <si>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</si>
  <si>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</si>
  <si>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</si>
  <si>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</si>
  <si>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</si>
  <si>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</si>
  <si>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</si>
  <si>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</si>
  <si>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</si>
  <si>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</si>
  <si>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</si>
  <si>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</si>
  <si>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</si>
  <si>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</si>
  <si>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</si>
  <si>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</si>
  <si>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</si>
  <si>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</si>
  <si>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</si>
  <si>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</si>
  <si>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</si>
  <si>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</si>
  <si>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</si>
  <si>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</si>
  <si>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</si>
  <si>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</si>
  <si>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</si>
  <si>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</si>
  <si>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</si>
  <si>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</si>
  <si>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</si>
  <si>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</si>
  <si>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</si>
  <si>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</si>
  <si>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</si>
  <si>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</si>
  <si>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</si>
  <si>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</si>
  <si>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</si>
  <si>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</si>
  <si>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</si>
  <si>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</si>
  <si>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</si>
  <si>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</si>
  <si>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</si>
  <si>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</si>
  <si>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</si>
  <si>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</si>
  <si>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</si>
  <si>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</si>
  <si>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</si>
  <si>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</si>
  <si>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</si>
  <si>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</si>
  <si>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</si>
  <si>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</si>
  <si>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</si>
  <si>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</si>
  <si>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</si>
  <si>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</si>
  <si>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</si>
  <si>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</si>
  <si>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</si>
  <si>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</si>
  <si>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</si>
  <si>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</si>
  <si>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</si>
  <si>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</si>
  <si>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</si>
  <si>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</si>
  <si>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</si>
  <si>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</si>
  <si>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</si>
  <si>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</si>
  <si>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</si>
  <si>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</si>
  <si>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</si>
  <si>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</si>
  <si>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</si>
  <si>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</si>
  <si>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</si>
  <si>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</si>
  <si>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</si>
  <si>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</si>
  <si>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</si>
  <si>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</si>
  <si>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</si>
  <si>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</si>
  <si>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</si>
  <si>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</si>
  <si>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</si>
  <si>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</si>
  <si>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</si>
  <si>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</si>
  <si>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</si>
  <si>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</si>
  <si>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</si>
  <si>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</si>
  <si>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</si>
  <si>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</si>
  <si>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</si>
  <si>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</si>
  <si>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</si>
  <si>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</si>
  <si>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</si>
  <si>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</si>
  <si>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</si>
  <si>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</si>
  <si>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</si>
  <si>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</si>
  <si>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</si>
  <si>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</si>
  <si>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</si>
  <si>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</si>
  <si>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</si>
  <si>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</si>
  <si>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</si>
  <si>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</si>
  <si>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</si>
  <si>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</si>
  <si>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</si>
  <si>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</si>
  <si>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</si>
  <si>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</si>
  <si>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</si>
  <si>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</si>
  <si>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</si>
  <si>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</si>
  <si>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</si>
  <si>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</si>
  <si>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</si>
  <si>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</si>
  <si>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</si>
  <si>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</si>
  <si>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</si>
  <si>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</si>
  <si>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</si>
  <si>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</si>
  <si>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</si>
  <si>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</si>
  <si>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</si>
  <si>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</si>
  <si>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</si>
  <si>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</si>
  <si>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</si>
  <si>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</si>
  <si>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</si>
  <si>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</si>
  <si>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</si>
  <si>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</si>
  <si>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</si>
  <si>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</si>
  <si>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</si>
  <si>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</si>
  <si>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</si>
  <si>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</si>
  <si>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</si>
  <si>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</si>
  <si>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</si>
  <si>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</si>
  <si>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</si>
  <si>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</si>
  <si>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</si>
  <si>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</si>
  <si>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</si>
  <si>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</si>
  <si>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</si>
  <si>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</si>
  <si>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</si>
  <si>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</si>
  <si>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</si>
  <si>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</si>
  <si>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</si>
  <si>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</si>
  <si>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</si>
  <si>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</si>
  <si>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</si>
  <si>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</si>
  <si>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</si>
  <si>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</si>
  <si>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</si>
  <si>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</si>
  <si>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</si>
  <si>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</si>
  <si>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</si>
  <si>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</si>
  <si>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</si>
  <si>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</si>
  <si>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</si>
  <si>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</si>
  <si>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</si>
  <si>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</si>
  <si>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</si>
  <si>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</si>
  <si>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</si>
  <si>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</si>
  <si>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</si>
  <si>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</si>
  <si>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</si>
  <si>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</si>
  <si>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</si>
  <si>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</si>
  <si>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</si>
  <si>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</si>
  <si>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</si>
  <si>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</si>
  <si>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</si>
  <si>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</si>
  <si>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</si>
  <si>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</si>
  <si>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</si>
  <si>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</si>
  <si>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</si>
  <si>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</si>
  <si>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</si>
  <si>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</si>
  <si>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</si>
  <si>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</si>
  <si>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</si>
  <si>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</si>
  <si>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</si>
  <si>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</si>
  <si>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</si>
  <si>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</si>
  <si>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</si>
  <si>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</si>
  <si>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</si>
  <si>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</si>
  <si>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</si>
  <si>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</si>
  <si>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</si>
  <si>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</si>
  <si>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</si>
  <si>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</si>
  <si>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</si>
  <si>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</si>
  <si>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</si>
  <si>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</si>
  <si>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</si>
  <si>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</si>
  <si>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</si>
  <si>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</si>
  <si>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</si>
  <si>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</si>
  <si>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</si>
  <si>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</si>
  <si>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</si>
  <si>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</si>
  <si>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</si>
  <si>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</si>
  <si>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</si>
  <si>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</si>
  <si>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</si>
  <si>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</si>
  <si>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</si>
  <si>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</si>
  <si>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</si>
  <si>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</si>
  <si>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</si>
  <si>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</si>
  <si>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</si>
  <si>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</si>
  <si>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</si>
  <si>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</si>
  <si>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</si>
  <si>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</si>
  <si>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</si>
  <si>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</si>
  <si>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</si>
  <si>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</si>
  <si>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</si>
  <si>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</si>
  <si>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</si>
  <si>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</si>
  <si>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</si>
  <si>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</si>
  <si>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</si>
  <si>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</si>
  <si>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</si>
  <si>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</si>
  <si>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</si>
  <si>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</si>
  <si>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</si>
  <si>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</si>
  <si>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</si>
  <si>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</si>
  <si>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</si>
  <si>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</si>
  <si>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</si>
  <si>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</si>
  <si>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</si>
  <si>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</si>
  <si>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</si>
  <si>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</si>
  <si>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</si>
  <si>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</si>
  <si>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</si>
  <si>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</si>
  <si>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</si>
  <si>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</si>
  <si>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</si>
  <si>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</si>
  <si>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</si>
  <si>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</si>
  <si>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</si>
  <si>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</si>
  <si>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</si>
  <si>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</si>
  <si>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</si>
  <si>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</si>
  <si>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</si>
  <si>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</si>
  <si>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</si>
  <si>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</si>
  <si>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</si>
  <si>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</si>
  <si>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</si>
  <si>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</si>
  <si>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</si>
  <si>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</si>
  <si>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</si>
  <si>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</si>
  <si>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</si>
  <si>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</si>
  <si>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</si>
  <si>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</si>
  <si>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</si>
  <si>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</si>
  <si>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</si>
  <si>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</si>
  <si>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</si>
  <si>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</si>
  <si>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</si>
  <si>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</si>
  <si>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</si>
  <si>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</si>
  <si>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</si>
  <si>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</si>
  <si>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</si>
  <si>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</si>
  <si>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</si>
  <si>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</si>
  <si>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</si>
  <si>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</si>
  <si>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</si>
  <si>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</si>
  <si>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</si>
  <si>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</si>
  <si>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</si>
  <si>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</si>
  <si>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</si>
  <si>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</si>
  <si>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</si>
  <si>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</si>
  <si>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</si>
  <si>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</si>
  <si>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</si>
  <si>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</si>
  <si>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</si>
  <si>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</si>
  <si>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</si>
  <si>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</si>
  <si>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</si>
  <si>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</si>
  <si>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</si>
  <si>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</si>
  <si>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</si>
  <si>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</si>
  <si>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</si>
  <si>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</si>
  <si>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</si>
  <si>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</si>
  <si>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</si>
  <si>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</si>
  <si>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</si>
  <si>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</si>
  <si>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</si>
  <si>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</si>
  <si>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</si>
  <si>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</si>
  <si>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</si>
  <si>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</si>
  <si>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</si>
  <si>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</si>
  <si>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</si>
  <si>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</si>
  <si>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</si>
  <si>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</si>
  <si>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</si>
  <si>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</si>
  <si>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</si>
  <si>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</si>
  <si>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</si>
  <si>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</si>
  <si>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</si>
  <si>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</si>
  <si>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</si>
  <si>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</si>
  <si>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</si>
  <si>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</si>
  <si>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</si>
  <si>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</si>
  <si>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</si>
  <si>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</si>
  <si>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</si>
  <si>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</si>
  <si>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</si>
  <si>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</si>
  <si>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</si>
  <si>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</si>
  <si>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</si>
  <si>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</si>
  <si>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</si>
  <si>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</si>
  <si>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</si>
  <si>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</si>
  <si>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</si>
  <si>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</si>
  <si>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</si>
  <si>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</si>
  <si>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</si>
  <si>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</si>
  <si>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</si>
  <si>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</si>
  <si>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</si>
  <si>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</si>
  <si>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</si>
  <si>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</si>
  <si>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</si>
  <si>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</si>
  <si>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</si>
  <si>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</si>
  <si>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</si>
  <si>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</si>
  <si>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</si>
  <si>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</si>
  <si>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</si>
  <si>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</si>
  <si>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</si>
  <si>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</si>
  <si>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</si>
  <si>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</si>
  <si>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</si>
  <si>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</si>
  <si>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</si>
  <si>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</si>
  <si>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</si>
  <si>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</si>
  <si>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</si>
  <si>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</si>
  <si>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</si>
  <si>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</si>
  <si>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</si>
  <si>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</si>
  <si>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</si>
  <si>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</si>
  <si>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</si>
  <si>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</si>
  <si>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</si>
  <si>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</si>
  <si>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</si>
  <si>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</si>
  <si>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</si>
  <si>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</si>
  <si>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</si>
  <si>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</si>
  <si>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</si>
  <si>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</si>
  <si>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</si>
  <si>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</si>
  <si>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</si>
  <si>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</si>
  <si>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</si>
  <si>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</si>
  <si>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</si>
  <si>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</si>
  <si>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</si>
  <si>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</si>
  <si>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</si>
  <si>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</si>
  <si>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</si>
  <si>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</si>
  <si>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</si>
  <si>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</si>
  <si>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</si>
  <si>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</si>
  <si>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</si>
  <si>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</si>
  <si>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</si>
  <si>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</si>
  <si>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</si>
  <si>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</si>
  <si>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</si>
  <si>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</si>
  <si>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</si>
  <si>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</si>
  <si>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</si>
  <si>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</si>
  <si>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</si>
  <si>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</si>
  <si>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</si>
  <si>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</si>
  <si>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</si>
  <si>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</si>
  <si>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</si>
  <si>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</si>
  <si>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</si>
  <si>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</si>
  <si>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</si>
  <si>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</si>
  <si>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</si>
  <si>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</si>
  <si>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</si>
  <si>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</si>
  <si>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</si>
  <si>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</si>
  <si>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</si>
  <si>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</si>
  <si>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</si>
  <si>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</si>
  <si>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</si>
  <si>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</si>
  <si>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</si>
  <si>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</si>
  <si>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</si>
  <si>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</si>
  <si>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</si>
  <si>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</si>
  <si>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</si>
  <si>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</si>
  <si>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</si>
  <si>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</si>
  <si>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</si>
  <si>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</si>
  <si>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</si>
  <si>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</si>
  <si>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</si>
  <si>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</si>
  <si>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</si>
  <si>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</si>
  <si>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</si>
  <si>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</si>
  <si>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</si>
  <si>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</si>
  <si>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</si>
  <si>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</si>
  <si>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</si>
  <si>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</si>
  <si>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</si>
  <si>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</si>
  <si>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</si>
  <si>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</si>
  <si>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</si>
  <si>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</si>
  <si>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</si>
  <si>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</si>
  <si>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</si>
  <si>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</si>
  <si>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</si>
  <si>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</si>
  <si>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</si>
  <si>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</si>
  <si>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</si>
  <si>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</si>
  <si>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</si>
  <si>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</si>
  <si>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</si>
  <si>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</si>
  <si>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</si>
  <si>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</si>
  <si>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</si>
  <si>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</si>
  <si>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</si>
  <si>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</si>
  <si>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</si>
  <si>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</si>
  <si>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</si>
  <si>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</si>
  <si>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</si>
  <si>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</si>
  <si>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</si>
  <si>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</si>
  <si>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</si>
  <si>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</si>
  <si>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</si>
  <si>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</si>
  <si>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</si>
  <si>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</si>
  <si>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</si>
  <si>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</si>
  <si>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</si>
  <si>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</si>
  <si>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</si>
  <si>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</si>
  <si>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</si>
  <si>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</si>
  <si>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</si>
  <si>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</si>
  <si>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</si>
  <si>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</si>
  <si>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</si>
  <si>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</si>
  <si>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</si>
  <si>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</si>
  <si>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</si>
  <si>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</si>
  <si>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</si>
  <si>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</si>
  <si>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</si>
  <si>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</si>
  <si>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</si>
  <si>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</si>
  <si>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</si>
  <si>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</si>
  <si>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</si>
  <si>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</si>
  <si>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</si>
  <si>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</si>
  <si>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</si>
  <si>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</si>
  <si>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</si>
  <si>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</si>
  <si>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</si>
  <si>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</si>
  <si>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</si>
  <si>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</si>
  <si>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</si>
  <si>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</si>
  <si>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</si>
  <si>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</si>
  <si>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</si>
  <si>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</si>
  <si>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</si>
  <si>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</si>
  <si>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</si>
  <si>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</si>
  <si>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</si>
  <si>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</si>
  <si>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</si>
  <si>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</si>
  <si>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</si>
  <si>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</si>
  <si>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</si>
  <si>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</si>
  <si>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</si>
  <si>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</si>
  <si>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</si>
  <si>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</si>
  <si>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</si>
  <si>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</si>
  <si>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</si>
  <si>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</si>
  <si>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</si>
  <si>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</si>
  <si>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</si>
  <si>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</si>
  <si>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</si>
  <si>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</si>
  <si>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</si>
  <si>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</si>
  <si>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</si>
  <si>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</si>
  <si>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</si>
  <si>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</si>
  <si>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</si>
  <si>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</si>
  <si>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</si>
  <si>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</si>
  <si>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</si>
  <si>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</si>
  <si>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</si>
  <si>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</si>
  <si>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</si>
  <si>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</si>
  <si>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</si>
  <si>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</si>
  <si>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</si>
  <si>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</si>
  <si>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</si>
  <si>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</si>
  <si>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</si>
  <si>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</si>
  <si>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</si>
  <si>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</si>
  <si>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</si>
  <si>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</si>
  <si>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</si>
  <si>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</si>
  <si>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</si>
  <si>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</si>
  <si>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</si>
  <si>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</si>
  <si>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</si>
  <si>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</si>
  <si>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</si>
  <si>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</si>
  <si>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</si>
  <si>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</si>
  <si>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</si>
  <si>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</si>
  <si>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</si>
  <si>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</si>
  <si>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</si>
  <si>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</si>
  <si>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</si>
  <si>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</si>
  <si>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</si>
  <si>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</si>
  <si>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</si>
  <si>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</si>
  <si>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</si>
  <si>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</si>
  <si>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</si>
  <si>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</si>
  <si>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</si>
  <si>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</si>
  <si>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</si>
  <si>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</si>
  <si>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</si>
  <si>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</si>
  <si>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</si>
  <si>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</si>
  <si>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</si>
  <si>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</si>
  <si>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</si>
  <si>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</si>
  <si>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</si>
  <si>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</si>
  <si>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</si>
  <si>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</si>
  <si>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</si>
  <si>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</si>
  <si>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</si>
  <si>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</si>
  <si>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</si>
  <si>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</si>
  <si>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</si>
  <si>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</si>
  <si>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</si>
  <si>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</si>
  <si>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</si>
  <si>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</si>
  <si>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</si>
  <si>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</si>
  <si>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</si>
  <si>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</si>
  <si>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</si>
  <si>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</si>
  <si>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</si>
  <si>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</si>
  <si>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</si>
  <si>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</si>
  <si>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</si>
  <si>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</si>
  <si>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</si>
  <si>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</si>
  <si>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</si>
  <si>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</si>
  <si>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</si>
  <si>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</si>
  <si>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</si>
  <si>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</si>
  <si>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</si>
  <si>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</si>
  <si>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</si>
  <si>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</si>
  <si>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</si>
  <si>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</si>
  <si>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</si>
  <si>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</si>
  <si>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</si>
  <si>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</si>
  <si>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</si>
  <si>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</si>
  <si>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</si>
  <si>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</si>
  <si>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</si>
  <si>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</si>
  <si>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</si>
  <si>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</si>
  <si>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</si>
  <si>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</si>
  <si>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</si>
  <si>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</si>
  <si>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</si>
  <si>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</si>
  <si>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</si>
  <si>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</si>
  <si>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</si>
  <si>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</si>
  <si>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</si>
  <si>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</si>
  <si>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</si>
  <si>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</si>
  <si>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</si>
  <si>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</si>
  <si>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</si>
  <si>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</si>
  <si>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</si>
  <si>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</si>
  <si>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</si>
  <si>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</si>
  <si>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</si>
  <si>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</si>
  <si>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</si>
  <si>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</si>
  <si>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</si>
  <si>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</si>
  <si>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</si>
  <si>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</si>
  <si>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</si>
  <si>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</si>
  <si>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</si>
  <si>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</si>
  <si>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</si>
  <si>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</si>
  <si>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</si>
  <si>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</si>
  <si>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</si>
  <si>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</si>
  <si>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</si>
  <si>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</si>
  <si>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</si>
  <si>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</si>
  <si>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</si>
  <si>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</si>
  <si>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</si>
  <si>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</si>
  <si>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</si>
  <si>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</si>
  <si>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</si>
  <si>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</si>
  <si>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</si>
  <si>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</si>
  <si>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</si>
  <si>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</si>
  <si>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</si>
  <si>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</si>
  <si>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</si>
  <si>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</si>
  <si>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</si>
  <si>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</si>
  <si>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</si>
  <si>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</si>
  <si>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</si>
  <si>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</si>
  <si>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</si>
  <si>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</si>
  <si>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</si>
  <si>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</si>
  <si>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</si>
  <si>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</si>
  <si>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</si>
  <si>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</si>
  <si>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</si>
  <si>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</si>
  <si>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</si>
  <si>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</si>
  <si>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</si>
  <si>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</si>
  <si>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</si>
  <si>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</si>
  <si>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</si>
  <si>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</si>
  <si>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</si>
  <si>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</si>
  <si>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</si>
  <si>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</si>
  <si>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</si>
  <si>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</si>
  <si>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</si>
  <si>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</si>
  <si>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</si>
  <si>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</si>
  <si>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</si>
  <si>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</si>
  <si>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</si>
  <si>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</si>
  <si>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</si>
  <si>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</si>
  <si>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</si>
  <si>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</si>
  <si>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</si>
  <si>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</si>
  <si>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</si>
  <si>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</si>
  <si>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</si>
  <si>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</si>
  <si>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</si>
  <si>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</si>
  <si>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</si>
  <si>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</si>
  <si>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</si>
  <si>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</si>
  <si>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</si>
  <si>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</si>
  <si>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</si>
  <si>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</si>
  <si>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</si>
  <si>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</si>
  <si>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</si>
  <si>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</si>
  <si>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</si>
  <si>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</si>
  <si>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</si>
  <si>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</si>
  <si>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</si>
  <si>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</si>
  <si>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</si>
  <si>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</si>
  <si>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</si>
  <si>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</si>
  <si>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</si>
  <si>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</si>
  <si>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</si>
  <si>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</si>
  <si>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</si>
  <si>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</si>
  <si>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</si>
  <si>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</si>
  <si>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</si>
  <si>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</si>
  <si>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</si>
  <si>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</si>
  <si>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</si>
  <si>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</si>
  <si>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</si>
  <si>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</si>
  <si>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</si>
  <si>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</si>
  <si>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</si>
  <si>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</si>
  <si>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</si>
  <si>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</si>
  <si>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</si>
  <si>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</si>
  <si>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</si>
  <si>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</si>
  <si>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</si>
  <si>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</si>
  <si>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</si>
  <si>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</si>
  <si>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</si>
  <si>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</si>
  <si>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</si>
  <si>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</si>
  <si>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</si>
  <si>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</si>
  <si>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</si>
  <si>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</si>
  <si>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</si>
  <si>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</si>
  <si>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</si>
  <si>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</si>
  <si>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</si>
  <si>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</si>
  <si>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</si>
  <si>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</si>
  <si>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</si>
  <si>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</si>
  <si>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</si>
  <si>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</si>
  <si>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</si>
  <si>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</si>
  <si>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</si>
  <si>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</si>
  <si>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</si>
  <si>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</si>
  <si>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</si>
  <si>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</si>
  <si>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</si>
  <si>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</si>
  <si>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</si>
  <si>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</si>
  <si>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</si>
  <si>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</si>
  <si>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</si>
  <si>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</si>
  <si>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</si>
  <si>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</si>
  <si>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</si>
  <si>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</si>
  <si>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</si>
  <si>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</si>
  <si>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</si>
  <si>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</si>
  <si>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</si>
  <si>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</si>
  <si>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</si>
  <si>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</si>
  <si>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</si>
  <si>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</si>
  <si>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</si>
  <si>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</si>
  <si>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</si>
  <si>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</si>
  <si>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</si>
  <si>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</si>
  <si>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</si>
  <si>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</si>
  <si>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</si>
  <si>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</si>
  <si>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</si>
  <si>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</si>
  <si>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</si>
  <si>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</si>
  <si>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</si>
  <si>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</si>
  <si>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</si>
  <si>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</si>
  <si>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</si>
  <si>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</si>
  <si>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</si>
  <si>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</si>
  <si>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</si>
  <si>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</si>
  <si>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</si>
  <si>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</si>
  <si>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</si>
  <si>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</si>
  <si>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</si>
  <si>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</si>
  <si>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</si>
  <si>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</si>
  <si>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</si>
  <si>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</si>
  <si>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</si>
  <si>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</si>
  <si>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</si>
  <si>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</si>
  <si>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</si>
  <si>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</si>
  <si>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</si>
  <si>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</si>
  <si>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</si>
  <si>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</si>
  <si>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</si>
  <si>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</si>
  <si>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</si>
  <si>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</si>
  <si>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</si>
  <si>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</si>
  <si>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</si>
  <si>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</si>
  <si>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</si>
  <si>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</si>
  <si>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</si>
  <si>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</si>
  <si>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</si>
  <si>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</si>
  <si>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</si>
  <si>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</si>
  <si>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</si>
  <si>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</si>
  <si>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</si>
  <si>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</si>
  <si>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</si>
  <si>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</si>
  <si>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</si>
  <si>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</si>
  <si>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</si>
  <si>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</si>
  <si>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</si>
  <si>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</si>
  <si>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</si>
  <si>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</si>
  <si>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</si>
  <si>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</si>
  <si>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</si>
  <si>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</si>
  <si>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</si>
  <si>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</si>
  <si>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</si>
  <si>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</si>
  <si>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</si>
  <si>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</si>
  <si>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</si>
  <si>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</si>
  <si>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</si>
  <si>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</si>
  <si>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</si>
  <si>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</si>
  <si>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</si>
  <si>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</si>
  <si>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</si>
  <si>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</si>
  <si>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</si>
  <si>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</si>
  <si>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</si>
  <si>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</si>
  <si>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</si>
  <si>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</si>
  <si>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</si>
  <si>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</si>
  <si>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</si>
  <si>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</si>
  <si>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</si>
  <si>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</si>
  <si>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</si>
  <si>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</si>
  <si>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</si>
  <si>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</si>
  <si>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</si>
  <si>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</si>
  <si>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</si>
  <si>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</si>
  <si>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</si>
  <si>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</si>
  <si>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</si>
  <si>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</si>
  <si>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</si>
  <si>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</si>
  <si>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</si>
  <si>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</si>
  <si>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</si>
  <si>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</si>
  <si>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</si>
  <si>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</si>
  <si>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</si>
  <si>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</si>
  <si>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</si>
  <si>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</si>
  <si>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</si>
  <si>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</si>
  <si>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</si>
  <si>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</si>
  <si>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</si>
  <si>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</si>
  <si>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</si>
  <si>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</si>
  <si>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</si>
  <si>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</si>
  <si>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</si>
  <si>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</si>
  <si>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</si>
  <si>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</si>
  <si>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</si>
  <si>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</si>
  <si>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</si>
  <si>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</si>
  <si>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</si>
  <si>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</si>
  <si>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</si>
  <si>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</si>
  <si>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</si>
  <si>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</si>
  <si>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</si>
  <si>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</si>
  <si>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</si>
  <si>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</si>
  <si>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</si>
  <si>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</si>
  <si>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</si>
  <si>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</si>
  <si>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</si>
  <si>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</si>
  <si>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</si>
  <si>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</si>
  <si>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</si>
  <si>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</si>
  <si>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</si>
  <si>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</si>
  <si>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</si>
  <si>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</si>
  <si>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</si>
  <si>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</si>
  <si>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</si>
  <si>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</si>
  <si>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</si>
  <si>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</si>
  <si>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</si>
  <si>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</si>
  <si>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</si>
  <si>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</si>
  <si>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</si>
  <si>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</si>
  <si>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</si>
  <si>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</si>
  <si>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</si>
  <si>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</si>
  <si>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</si>
  <si>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</si>
  <si>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</si>
  <si>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</si>
  <si>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</si>
  <si>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</si>
  <si>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</si>
  <si>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</si>
  <si>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</si>
  <si>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</si>
  <si>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</si>
  <si>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</si>
  <si>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</si>
  <si>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</si>
  <si>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</si>
  <si>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</si>
  <si>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</si>
  <si>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</si>
  <si>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</si>
  <si>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</si>
  <si>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</si>
  <si>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</si>
  <si>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</si>
  <si>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</si>
  <si>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</si>
  <si>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</si>
  <si>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</si>
  <si>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</si>
  <si>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</si>
  <si>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</si>
  <si>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</si>
  <si>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</si>
  <si>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</si>
  <si>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</si>
  <si>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</si>
  <si>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</si>
  <si>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</si>
  <si>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</si>
  <si>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</si>
  <si>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</si>
  <si>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</si>
  <si>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</si>
  <si>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</si>
  <si>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</si>
  <si>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</si>
  <si>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</si>
  <si>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</si>
  <si>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</si>
  <si>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</si>
  <si>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</si>
  <si>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</si>
  <si>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</si>
  <si>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</si>
  <si>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</si>
  <si>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</si>
  <si>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</si>
  <si>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</si>
  <si>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</si>
  <si>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</si>
  <si>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</si>
  <si>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</si>
  <si>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</si>
  <si>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</si>
  <si>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</si>
  <si>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</si>
  <si>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</si>
  <si>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</si>
  <si>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</si>
  <si>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</si>
  <si>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</si>
  <si>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</si>
  <si>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</si>
  <si>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</si>
  <si>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</si>
  <si>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</si>
  <si>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</si>
  <si>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</si>
  <si>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</si>
  <si>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</si>
  <si>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</si>
  <si>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</si>
  <si>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</si>
  <si>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</si>
  <si>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</si>
  <si>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</si>
  <si>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</si>
  <si>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</si>
  <si>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</si>
  <si>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</si>
  <si>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</si>
  <si>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</si>
  <si>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</si>
  <si>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</si>
  <si>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</si>
  <si>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</si>
  <si>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</si>
  <si>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</si>
  <si>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</si>
  <si>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</si>
  <si>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</si>
  <si>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</si>
  <si>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</si>
  <si>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</si>
  <si>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</si>
  <si>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</si>
  <si>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</si>
  <si>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</si>
  <si>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</si>
  <si>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</si>
  <si>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</si>
  <si>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</si>
  <si>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</si>
  <si>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</si>
  <si>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</si>
  <si>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</si>
  <si>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</si>
  <si>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</si>
  <si>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</si>
  <si>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</si>
  <si>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</si>
  <si>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</si>
  <si>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</si>
  <si>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</si>
  <si>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</si>
  <si>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</si>
  <si>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</si>
  <si>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</si>
  <si>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</si>
  <si>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</si>
  <si>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</si>
  <si>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</si>
  <si>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</si>
  <si>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</si>
  <si>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</si>
  <si>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</si>
  <si>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</si>
  <si>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</si>
  <si>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</si>
  <si>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</si>
  <si>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</si>
  <si>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</si>
  <si>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</si>
  <si>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</si>
  <si>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</si>
  <si>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</si>
  <si>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</si>
  <si>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</si>
  <si>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</si>
  <si>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</si>
  <si>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</si>
  <si>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</si>
  <si>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</si>
  <si>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</si>
  <si>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</si>
  <si>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</si>
  <si>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</si>
  <si>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</si>
  <si>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</si>
  <si>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</si>
  <si>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</si>
  <si>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</si>
  <si>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</si>
  <si>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</si>
  <si>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</si>
  <si>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</si>
  <si>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</si>
  <si>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</si>
  <si>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</si>
  <si>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</si>
  <si>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</si>
  <si>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</si>
  <si>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</si>
  <si>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</si>
  <si>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</si>
  <si>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</si>
  <si>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</si>
  <si>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</si>
  <si>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</si>
  <si>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</si>
  <si>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</si>
  <si>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</si>
  <si>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</si>
  <si>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</si>
  <si>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</si>
  <si>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</si>
  <si>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</si>
  <si>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</si>
  <si>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</si>
  <si>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</si>
  <si>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</si>
  <si>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</si>
  <si>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</si>
  <si>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</si>
  <si>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</si>
  <si>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</si>
  <si>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</si>
  <si>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</si>
  <si>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</si>
  <si>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</si>
  <si>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</si>
  <si>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</si>
  <si>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</si>
  <si>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</si>
  <si>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</si>
  <si>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</si>
  <si>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</si>
  <si>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</si>
  <si>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</si>
  <si>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</si>
  <si>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</si>
  <si>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</si>
  <si>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</si>
  <si>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</si>
  <si>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</si>
  <si>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</si>
  <si>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</si>
  <si>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</si>
  <si>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</si>
  <si>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</si>
  <si>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</si>
  <si>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</si>
  <si>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</si>
  <si>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</si>
  <si>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</si>
  <si>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</si>
  <si>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</si>
  <si>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</si>
  <si>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</si>
  <si>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</si>
  <si>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</si>
  <si>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</si>
  <si>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</si>
  <si>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</si>
  <si>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</si>
  <si>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</si>
  <si>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</si>
  <si>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</si>
  <si>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</si>
  <si>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</si>
  <si>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</si>
  <si>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</si>
  <si>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</si>
  <si>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</si>
  <si>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</si>
  <si>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</si>
  <si>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</si>
  <si>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</si>
  <si>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</si>
  <si>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</si>
  <si>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</si>
  <si>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</si>
  <si>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</si>
  <si>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</si>
  <si>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</si>
  <si>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</si>
  <si>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</si>
  <si>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</si>
  <si>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</si>
  <si>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</si>
  <si>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</si>
  <si>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</si>
  <si>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</si>
  <si>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</si>
  <si>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</si>
  <si>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</si>
  <si>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</si>
  <si>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</si>
  <si>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</si>
  <si>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</si>
  <si>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</si>
  <si>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</si>
  <si>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</si>
  <si>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</si>
  <si>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</si>
  <si>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</si>
  <si>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</si>
  <si>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</si>
  <si>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</si>
  <si>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</si>
  <si>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</si>
  <si>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</si>
  <si>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</si>
  <si>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</si>
  <si>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</si>
  <si>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</si>
  <si>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</si>
  <si>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</si>
  <si>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</si>
  <si>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</si>
  <si>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</si>
  <si>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</si>
  <si>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</si>
  <si>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</si>
  <si>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</si>
  <si>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</si>
  <si>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</si>
  <si>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</si>
  <si>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</si>
  <si>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</si>
  <si>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</si>
  <si>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</si>
  <si>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</si>
  <si>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</si>
  <si>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</si>
  <si>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</si>
  <si>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</si>
  <si>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</si>
  <si>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</si>
  <si>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</si>
  <si>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</si>
  <si>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</si>
  <si>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</si>
  <si>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</si>
  <si>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</si>
  <si>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</si>
  <si>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</si>
  <si>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</si>
  <si>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</si>
  <si>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</si>
  <si>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</si>
  <si>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</si>
  <si>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</si>
  <si>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</si>
  <si>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</si>
  <si>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</si>
  <si>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</si>
  <si>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</si>
  <si>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</si>
  <si>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</si>
  <si>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</si>
  <si>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</si>
  <si>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</si>
  <si>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</si>
  <si>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</si>
  <si>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</si>
  <si>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</si>
  <si>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</si>
  <si>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</si>
  <si>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</si>
  <si>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</si>
  <si>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</si>
  <si>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</si>
  <si>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</si>
  <si>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</si>
  <si>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</si>
  <si>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</si>
  <si>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</si>
  <si>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</si>
  <si>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</si>
  <si>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</si>
  <si>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</si>
  <si>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</si>
  <si>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</si>
  <si>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</si>
  <si>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</si>
  <si>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</si>
  <si>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</si>
  <si>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</si>
  <si>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</si>
  <si>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</si>
  <si>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</si>
  <si>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</si>
  <si>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</si>
  <si>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</si>
  <si>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</si>
  <si>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</si>
  <si>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</si>
  <si>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</si>
  <si>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</si>
  <si>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</si>
  <si>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</si>
  <si>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</si>
  <si>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</si>
  <si>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</si>
  <si>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</si>
  <si>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</si>
  <si>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</si>
  <si>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</si>
  <si>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</si>
  <si>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</si>
  <si>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</si>
  <si>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</si>
  <si>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</si>
  <si>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</si>
  <si>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</si>
  <si>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</si>
  <si>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</si>
  <si>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</si>
  <si>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</si>
  <si>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</si>
  <si>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</si>
  <si>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</si>
  <si>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</si>
  <si>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</si>
  <si>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</si>
  <si>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</si>
  <si>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</si>
  <si>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</si>
  <si>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</si>
  <si>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</si>
  <si>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</si>
  <si>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</si>
  <si>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</si>
  <si>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</si>
  <si>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</si>
  <si>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</si>
  <si>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</si>
  <si>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</si>
  <si>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</si>
  <si>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</si>
  <si>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</si>
  <si>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</si>
  <si>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</si>
  <si>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</si>
  <si>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</si>
  <si>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</si>
  <si>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</si>
  <si>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</si>
  <si>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</si>
  <si>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</si>
  <si>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</si>
  <si>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</si>
  <si>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</si>
  <si>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</si>
  <si>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</si>
  <si>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</si>
  <si>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</si>
  <si>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</si>
  <si>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</si>
  <si>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</si>
  <si>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</si>
  <si>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</si>
  <si>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</si>
  <si>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</si>
  <si>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</si>
  <si>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</si>
  <si>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</si>
  <si>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</si>
  <si>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</si>
  <si>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</si>
  <si>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</si>
  <si>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</si>
  <si>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</si>
  <si>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</si>
  <si>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</si>
  <si>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</si>
  <si>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</si>
  <si>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</si>
  <si>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</si>
  <si>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</si>
  <si>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</si>
  <si>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</si>
  <si>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</si>
  <si>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</si>
  <si>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</si>
  <si>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</si>
  <si>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</si>
  <si>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</si>
  <si>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</si>
  <si>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</si>
  <si>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</si>
  <si>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</si>
  <si>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</si>
  <si>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</si>
  <si>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</si>
  <si>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</si>
  <si>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</si>
  <si>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</si>
  <si>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</si>
  <si>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</si>
  <si>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</si>
  <si>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</si>
  <si>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</si>
  <si>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</si>
  <si>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</si>
  <si>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</si>
  <si>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</si>
  <si>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</si>
  <si>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</si>
  <si>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</si>
  <si>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</si>
  <si>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</si>
  <si>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</si>
  <si>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</si>
  <si>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</si>
  <si>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</si>
  <si>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</si>
  <si>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</si>
  <si>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</si>
  <si>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</si>
  <si>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</si>
  <si>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</si>
  <si>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</si>
  <si>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</si>
  <si>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</si>
  <si>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</si>
  <si>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</si>
  <si>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</si>
  <si>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</si>
  <si>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</si>
  <si>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</si>
  <si>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</si>
  <si>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</si>
  <si>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</si>
  <si>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</si>
  <si>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</si>
  <si>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</si>
  <si>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</si>
  <si>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</si>
  <si>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</si>
  <si>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</si>
  <si>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</si>
  <si>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</si>
  <si>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</si>
  <si>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</si>
  <si>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</si>
  <si>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</si>
  <si>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</si>
  <si>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</si>
  <si>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</si>
  <si>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</si>
  <si>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</si>
  <si>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</si>
  <si>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</si>
  <si>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</si>
  <si>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</si>
  <si>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</si>
  <si>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</si>
  <si>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</si>
  <si>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</si>
  <si>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</si>
  <si>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</si>
  <si>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</si>
  <si>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</si>
  <si>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</si>
  <si>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</si>
  <si>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</si>
  <si>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</si>
  <si>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</si>
  <si>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</si>
  <si>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</si>
  <si>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</si>
  <si>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</si>
  <si>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</si>
  <si>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</si>
  <si>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</si>
  <si>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</si>
  <si>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</si>
  <si>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</si>
  <si>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</si>
  <si>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</si>
  <si>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</si>
  <si>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</si>
  <si>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</si>
  <si>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</si>
  <si>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</si>
  <si>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</si>
  <si>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</si>
  <si>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</si>
  <si>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</si>
  <si>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</si>
  <si>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</si>
  <si>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</si>
  <si>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</si>
  <si>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</si>
  <si>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</si>
  <si>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</si>
  <si>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</si>
  <si>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</si>
  <si>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</si>
  <si>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</si>
  <si>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</si>
  <si>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</si>
  <si>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</si>
  <si>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</si>
  <si>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</si>
  <si>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</si>
  <si>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</si>
  <si>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</si>
  <si>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</si>
  <si>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</si>
  <si>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</si>
  <si>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</si>
  <si>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</si>
  <si>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</si>
  <si>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</si>
  <si>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</si>
  <si>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</si>
  <si>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</si>
  <si>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</si>
  <si>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</si>
  <si>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</si>
  <si>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</si>
  <si>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</si>
  <si>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</si>
  <si>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</si>
  <si>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</si>
  <si>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</si>
  <si>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</si>
  <si>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</si>
  <si>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</si>
  <si>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</si>
  <si>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</si>
  <si>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</si>
  <si>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</si>
  <si>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</si>
  <si>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</si>
  <si>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</si>
  <si>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</si>
  <si>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</si>
  <si>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</si>
  <si>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</si>
  <si>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</si>
  <si>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</si>
  <si>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</si>
  <si>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</si>
  <si>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</si>
  <si>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</si>
  <si>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</si>
  <si>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</si>
  <si>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</si>
  <si>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</si>
  <si>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</si>
  <si>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</si>
  <si>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</si>
  <si>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</si>
  <si>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</si>
  <si>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</si>
  <si>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</si>
  <si>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</si>
  <si>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</si>
  <si>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</si>
  <si>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</si>
  <si>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</si>
  <si>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</si>
  <si>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</si>
  <si>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</si>
  <si>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</si>
  <si>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</si>
  <si>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</si>
  <si>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</si>
  <si>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</si>
  <si>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</si>
  <si>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</si>
  <si>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</si>
  <si>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</si>
  <si>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</si>
  <si>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</si>
  <si>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</si>
  <si>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</si>
  <si>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</si>
  <si>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</si>
  <si>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</si>
  <si>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</si>
  <si>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</si>
  <si>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</si>
  <si>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</si>
  <si>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</si>
  <si>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</si>
  <si>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</si>
  <si>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</si>
  <si>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</si>
  <si>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</si>
  <si>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</si>
  <si>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</si>
  <si>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</si>
  <si>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</si>
  <si>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</si>
  <si>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</si>
  <si>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</si>
  <si>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</si>
  <si>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</si>
  <si>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</si>
  <si>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</si>
  <si>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</si>
  <si>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</si>
  <si>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</si>
  <si>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</si>
  <si>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</si>
  <si>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</si>
  <si>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</si>
  <si>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</si>
  <si>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</si>
  <si>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</si>
  <si>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</si>
  <si>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</si>
  <si>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</si>
  <si>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</si>
  <si>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</si>
  <si>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</si>
  <si>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</si>
  <si>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</si>
  <si>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</si>
  <si>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</si>
  <si>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</si>
  <si>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</si>
  <si>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</si>
  <si>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</si>
  <si>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</si>
  <si>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</si>
  <si>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</si>
  <si>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</si>
  <si>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</si>
  <si>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</si>
  <si>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</si>
  <si>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</si>
  <si>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</si>
  <si>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</si>
  <si>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</si>
  <si>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</si>
  <si>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</si>
  <si>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</si>
  <si>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</si>
  <si>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</si>
  <si>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</si>
  <si>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</si>
  <si>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</si>
  <si>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</si>
  <si>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</si>
  <si>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</si>
  <si>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</si>
  <si>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</si>
  <si>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</si>
  <si>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</si>
  <si>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</si>
  <si>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</si>
  <si>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</si>
  <si>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</si>
  <si>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</si>
  <si>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</si>
  <si>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</si>
  <si>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</si>
  <si>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</si>
  <si>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</si>
  <si>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</si>
  <si>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</si>
  <si>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</si>
  <si>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</si>
  <si>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</si>
  <si>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</si>
  <si>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</si>
  <si>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</si>
  <si>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</si>
  <si>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</si>
  <si>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</si>
  <si>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</si>
  <si>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</si>
  <si>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</si>
  <si>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</si>
  <si>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</si>
  <si>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</si>
  <si>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</si>
  <si>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</si>
  <si>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</si>
  <si>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</si>
  <si>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</si>
  <si>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</si>
  <si>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</si>
  <si>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</si>
  <si>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</si>
  <si>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</si>
  <si>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</si>
  <si>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</si>
  <si>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</si>
  <si>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</si>
  <si>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</si>
  <si>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</si>
  <si>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</si>
  <si>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</si>
  <si>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</si>
  <si>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</si>
  <si>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</si>
  <si>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</si>
  <si>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</si>
  <si>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</si>
  <si>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</si>
  <si>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</si>
  <si>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</si>
  <si>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</si>
  <si>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</si>
  <si>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</si>
  <si>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</si>
  <si>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</si>
  <si>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</si>
  <si>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</si>
  <si>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</si>
  <si>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</si>
  <si>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</si>
  <si>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</si>
  <si>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</si>
  <si>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</si>
  <si>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</si>
  <si>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</si>
  <si>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</si>
  <si>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</si>
  <si>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</si>
  <si>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</si>
  <si>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</si>
  <si>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</si>
  <si>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</si>
  <si>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</si>
  <si>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</si>
  <si>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</si>
  <si>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</si>
  <si>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</si>
  <si>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</si>
  <si>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</si>
  <si>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</si>
  <si>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</si>
  <si>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</si>
  <si>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</si>
  <si>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</si>
  <si>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</si>
  <si>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</si>
  <si>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</si>
  <si>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</si>
  <si>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</si>
  <si>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</si>
  <si>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</si>
  <si>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</si>
  <si>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</si>
  <si>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</si>
  <si>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</si>
  <si>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</si>
  <si>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</si>
  <si>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</si>
  <si>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</si>
  <si>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</si>
  <si>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</si>
  <si>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</si>
  <si>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</si>
  <si>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</si>
  <si>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</si>
  <si>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</si>
  <si>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</si>
  <si>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</si>
  <si>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</si>
  <si>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</si>
  <si>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</si>
  <si>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</si>
  <si>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</si>
  <si>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</si>
  <si>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</si>
  <si>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</si>
  <si>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</si>
  <si>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</si>
  <si>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</si>
  <si>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</si>
  <si>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</si>
  <si>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</si>
  <si>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</si>
  <si>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</si>
  <si>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</si>
  <si>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</si>
  <si>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</si>
  <si>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</si>
  <si>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</si>
  <si>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</si>
  <si>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</si>
  <si>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</si>
  <si>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</si>
  <si>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</si>
  <si>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</si>
  <si>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</si>
  <si>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</si>
  <si>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</si>
  <si>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</si>
  <si>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</si>
  <si>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</si>
  <si>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</si>
  <si>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</si>
  <si>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</si>
  <si>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</si>
  <si>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</si>
  <si>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</si>
  <si>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</si>
  <si>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</si>
  <si>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</si>
  <si>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</si>
  <si>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</si>
  <si>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</si>
  <si>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</si>
  <si>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</si>
  <si>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</si>
  <si>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</si>
  <si>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</si>
  <si>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</si>
  <si>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</si>
  <si>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</si>
  <si>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</si>
  <si>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</si>
  <si>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</si>
  <si>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</si>
  <si>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</si>
  <si>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</si>
  <si>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</si>
  <si>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</si>
  <si>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</si>
  <si>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</si>
  <si>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</si>
  <si>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</si>
  <si>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</si>
  <si>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</si>
  <si>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</si>
  <si>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</si>
  <si>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</si>
  <si>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</si>
  <si>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</si>
  <si>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</si>
  <si>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</si>
  <si>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</si>
  <si>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</si>
  <si>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</si>
  <si>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</si>
  <si>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</si>
  <si>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</si>
  <si>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</si>
  <si>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</si>
  <si>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</si>
  <si>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</si>
  <si>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</si>
  <si>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</si>
  <si>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</si>
  <si>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</si>
  <si>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</si>
  <si>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</si>
  <si>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</si>
  <si>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</si>
  <si>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</si>
  <si>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</si>
  <si>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</si>
  <si>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</si>
  <si>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</si>
  <si>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</si>
  <si>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</si>
  <si>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</si>
  <si>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</si>
  <si>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</si>
  <si>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</si>
  <si>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</si>
  <si>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</si>
  <si>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</si>
  <si>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</si>
  <si>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</si>
  <si>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</si>
  <si>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</si>
  <si>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</si>
  <si>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</si>
  <si>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</si>
  <si>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</si>
  <si>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</si>
  <si>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</si>
  <si>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</si>
  <si>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</si>
  <si>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</si>
  <si>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</si>
  <si>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</si>
  <si>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</si>
  <si>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</si>
  <si>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</si>
  <si>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</si>
  <si>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</si>
  <si>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</si>
  <si>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</si>
  <si>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</si>
  <si>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</si>
  <si>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</si>
  <si>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</si>
  <si>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</si>
  <si>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</si>
  <si>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</si>
  <si>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</si>
  <si>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</si>
  <si>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</si>
  <si>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</si>
  <si>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</si>
  <si>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</si>
  <si>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</si>
  <si>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</si>
  <si>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</si>
  <si>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</si>
  <si>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</si>
  <si>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</si>
  <si>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</si>
  <si>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</si>
  <si>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</si>
  <si>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</si>
  <si>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</si>
  <si>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</si>
  <si>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</si>
  <si>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</si>
  <si>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</si>
  <si>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</si>
  <si>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</si>
  <si>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</si>
  <si>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</si>
  <si>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</si>
  <si>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</si>
  <si>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</si>
  <si>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</si>
  <si>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</si>
  <si>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</si>
  <si>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</si>
  <si>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</si>
  <si>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</si>
  <si>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</si>
  <si>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</si>
  <si>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</si>
  <si>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</si>
  <si>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</si>
  <si>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</si>
  <si>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</si>
  <si>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</si>
  <si>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</si>
  <si>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</si>
  <si>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</si>
  <si>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</si>
  <si>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</si>
  <si>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</si>
  <si>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</si>
  <si>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</si>
  <si>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</si>
  <si>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</si>
  <si>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</si>
  <si>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</si>
  <si>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</si>
  <si>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</si>
  <si>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</si>
  <si>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</si>
  <si>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</si>
  <si>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</si>
  <si>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</si>
  <si>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</si>
  <si>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</si>
  <si>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</si>
  <si>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</si>
  <si>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</si>
  <si>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</si>
  <si>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</si>
  <si>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</si>
  <si>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</si>
  <si>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</si>
  <si>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</si>
  <si>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</si>
  <si>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</si>
  <si>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</si>
  <si>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</si>
  <si>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</si>
  <si>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</si>
  <si>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</si>
  <si>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</si>
  <si>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</si>
  <si>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</si>
  <si>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</si>
  <si>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</si>
  <si>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</si>
  <si>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</si>
  <si>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</si>
  <si>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</si>
  <si>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</si>
  <si>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</si>
  <si>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</si>
  <si>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</si>
  <si>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</si>
  <si>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</si>
  <si>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</si>
  <si>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</si>
  <si>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</si>
  <si>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</si>
  <si>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</si>
  <si>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</si>
  <si>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</si>
  <si>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</si>
  <si>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</si>
  <si>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</si>
  <si>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</si>
  <si>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</si>
  <si>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</si>
  <si>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</si>
  <si>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</si>
  <si>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</si>
  <si>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</si>
  <si>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</si>
  <si>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</si>
  <si>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</si>
  <si>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</si>
  <si>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</si>
  <si>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</si>
  <si>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</si>
  <si>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</si>
  <si>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</si>
  <si>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</si>
  <si>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</si>
  <si>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</si>
  <si>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</si>
  <si>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</si>
  <si>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</si>
  <si>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</si>
  <si>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</si>
  <si>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</si>
  <si>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</si>
  <si>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</si>
  <si>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</si>
  <si>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</si>
  <si>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</si>
  <si>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</si>
  <si>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</si>
  <si>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</si>
  <si>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</si>
  <si>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</si>
  <si>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</si>
  <si>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</si>
  <si>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</si>
  <si>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</si>
  <si>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</si>
  <si>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</si>
  <si>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</si>
  <si>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</si>
  <si>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</si>
  <si>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</si>
  <si>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</si>
  <si>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</si>
  <si>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</si>
  <si>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</si>
  <si>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</si>
  <si>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</si>
  <si>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</si>
  <si>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</si>
  <si>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</si>
  <si>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</si>
  <si>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</si>
  <si>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</si>
  <si>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</si>
  <si>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</si>
  <si>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</si>
  <si>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</si>
  <si>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</si>
  <si>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</si>
  <si>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</si>
  <si>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</si>
  <si>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</si>
  <si>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</si>
  <si>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</si>
  <si>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</si>
  <si>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</si>
  <si>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</si>
  <si>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</si>
  <si>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</si>
  <si>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</si>
  <si>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</si>
  <si>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</si>
  <si>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</si>
  <si>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</si>
  <si>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</si>
  <si>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</si>
  <si>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</si>
  <si>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</si>
  <si>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</si>
  <si>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</si>
  <si>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</si>
  <si>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</si>
  <si>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</si>
  <si>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</si>
  <si>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</si>
  <si>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</si>
  <si>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</si>
  <si>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</si>
  <si>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</si>
  <si>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</si>
  <si>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</si>
  <si>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</si>
  <si>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</si>
  <si>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</si>
  <si>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</si>
  <si>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</si>
  <si>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</si>
  <si>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</si>
  <si>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</si>
  <si>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</si>
  <si>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</si>
  <si>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</si>
  <si>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</si>
  <si>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</si>
  <si>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</si>
  <si>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</si>
  <si>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</si>
  <si>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</si>
  <si>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</si>
  <si>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</si>
  <si>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</si>
  <si>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</si>
  <si>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</si>
  <si>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</si>
  <si>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</si>
  <si>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</si>
  <si>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</si>
  <si>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</si>
  <si>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</si>
  <si>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</si>
  <si>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</si>
  <si>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</si>
  <si>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</si>
  <si>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</si>
  <si>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</si>
  <si>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</si>
  <si>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</si>
  <si>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</si>
  <si>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</si>
  <si>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</si>
  <si>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</si>
  <si>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</si>
  <si>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</si>
  <si>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</si>
  <si>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</si>
  <si>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</si>
  <si>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</si>
  <si>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</si>
  <si>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</si>
  <si>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</si>
  <si>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</si>
  <si>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</si>
  <si>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</si>
  <si>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</si>
  <si>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</si>
  <si>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</si>
  <si>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</si>
  <si>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</si>
  <si>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</si>
  <si>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</si>
  <si>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</si>
  <si>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</si>
  <si>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</si>
  <si>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</si>
  <si>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</si>
  <si>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</si>
  <si>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</si>
  <si>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</si>
  <si>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</si>
  <si>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</si>
  <si>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</si>
  <si>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</si>
  <si>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</si>
  <si>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</si>
  <si>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</si>
  <si>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</si>
  <si>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</si>
  <si>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</si>
  <si>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</si>
  <si>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</si>
  <si>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</si>
  <si>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</si>
  <si>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</si>
  <si>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</si>
  <si>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</si>
  <si>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</si>
  <si>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</si>
  <si>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</si>
  <si>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</si>
  <si>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</si>
  <si>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</si>
  <si>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</si>
  <si>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</si>
  <si>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</si>
  <si>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</si>
  <si>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</si>
  <si>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</si>
  <si>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</si>
  <si>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</si>
  <si>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</si>
  <si>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</si>
  <si>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</si>
  <si>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</si>
  <si>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</si>
  <si>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</si>
  <si>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</si>
  <si>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</si>
  <si>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</si>
  <si>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</si>
  <si>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</si>
  <si>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</si>
  <si>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</si>
  <si>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</si>
  <si>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</si>
  <si>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</si>
  <si>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</si>
  <si>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</si>
  <si>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</si>
  <si>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</si>
  <si>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</si>
  <si>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</si>
  <si>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</si>
  <si>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</si>
  <si>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</si>
  <si>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</si>
  <si>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</si>
  <si>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</si>
  <si>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</si>
  <si>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</si>
  <si>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</si>
  <si>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</si>
  <si>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</si>
  <si>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</si>
  <si>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</si>
  <si>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</si>
  <si>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</si>
  <si>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</si>
  <si>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</si>
  <si>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</si>
  <si>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</si>
  <si>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</si>
  <si>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</si>
  <si>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</si>
  <si>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</si>
  <si>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</si>
  <si>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</si>
  <si>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</si>
  <si>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</si>
  <si>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</si>
  <si>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</si>
  <si>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</si>
  <si>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</si>
  <si>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</si>
  <si>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</si>
  <si>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</si>
  <si>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</si>
  <si>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</si>
  <si>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</si>
  <si>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</si>
  <si>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</si>
  <si>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</si>
  <si>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</si>
  <si>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</si>
  <si>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</si>
  <si>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</si>
  <si>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</si>
  <si>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</si>
  <si>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</si>
  <si>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</si>
  <si>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</si>
  <si>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</si>
  <si>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</si>
  <si>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</si>
  <si>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</si>
  <si>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</si>
  <si>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</si>
  <si>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</si>
  <si>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</si>
  <si>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</si>
  <si>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</si>
  <si>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</si>
  <si>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</si>
  <si>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</si>
  <si>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</si>
  <si>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</si>
  <si>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</si>
  <si>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</si>
  <si>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</si>
  <si>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</si>
  <si>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</si>
  <si>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</si>
  <si>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</si>
  <si>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</si>
  <si>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</si>
  <si>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</si>
  <si>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</si>
  <si>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</si>
  <si>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</si>
  <si>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</si>
  <si>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</si>
  <si>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</si>
  <si>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</si>
  <si>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</si>
  <si>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</si>
  <si>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</si>
  <si>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</si>
  <si>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</si>
  <si>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</si>
  <si>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</si>
  <si>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</si>
  <si>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</si>
  <si>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</si>
  <si>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</si>
  <si>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</si>
  <si>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</si>
  <si>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</si>
  <si>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</si>
  <si>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</si>
  <si>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</si>
  <si>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</si>
  <si>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</si>
  <si>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</si>
  <si>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</si>
  <si>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</si>
  <si>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</si>
  <si>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</si>
  <si>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</si>
  <si>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</si>
  <si>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</si>
  <si>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</si>
  <si>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</si>
  <si>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</si>
  <si>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</si>
  <si>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</si>
  <si>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</si>
  <si>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</si>
  <si>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</si>
  <si>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</si>
  <si>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</si>
  <si>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</si>
  <si>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</si>
  <si>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</si>
  <si>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</si>
  <si>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</si>
  <si>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</si>
  <si>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</si>
  <si>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</si>
  <si>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</si>
  <si>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</si>
  <si>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</si>
  <si>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</si>
  <si>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</si>
  <si>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</si>
  <si>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</si>
  <si>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</si>
  <si>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</si>
  <si>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</si>
  <si>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</si>
  <si>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</si>
  <si>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</si>
  <si>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</si>
  <si>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</si>
  <si>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</si>
  <si>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</si>
  <si>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</si>
  <si>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</si>
  <si>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</si>
  <si>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</si>
  <si>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</si>
  <si>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</si>
  <si>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</si>
  <si>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</si>
  <si>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</si>
  <si>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</si>
  <si>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</si>
  <si>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</si>
  <si>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</si>
  <si>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</si>
  <si>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</si>
  <si>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</si>
  <si>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</si>
  <si>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</si>
  <si>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</si>
  <si>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</si>
  <si>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</si>
  <si>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</si>
  <si>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</si>
  <si>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</si>
  <si>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</si>
  <si>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</si>
  <si>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</si>
  <si>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</si>
  <si>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</si>
  <si>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</si>
  <si>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</si>
  <si>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</si>
  <si>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</si>
  <si>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</si>
  <si>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</si>
  <si>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</si>
  <si>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</si>
  <si>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</si>
  <si>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</si>
  <si>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</si>
  <si>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</si>
  <si>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</si>
  <si>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</si>
  <si>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</si>
  <si>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</si>
  <si>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</si>
  <si>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</si>
  <si>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</si>
  <si>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</si>
  <si>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</si>
  <si>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</si>
  <si>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</si>
  <si>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</si>
  <si>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</si>
  <si>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</si>
  <si>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</si>
  <si>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</si>
  <si>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</si>
  <si>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</si>
  <si>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</si>
  <si>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</si>
  <si>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</si>
  <si>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</si>
  <si>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</si>
  <si>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</si>
  <si>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</si>
  <si>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</si>
  <si>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</si>
  <si>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</si>
  <si>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</si>
  <si>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</si>
  <si>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</si>
  <si>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</si>
  <si>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</si>
  <si>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</si>
  <si>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</si>
  <si>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</si>
  <si>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</si>
  <si>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</si>
  <si>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</si>
  <si>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</si>
  <si>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</si>
  <si>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</si>
  <si>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</si>
  <si>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</si>
  <si>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</si>
  <si>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</si>
  <si>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</si>
  <si>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</si>
  <si>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</si>
  <si>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</si>
  <si>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</si>
  <si>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</si>
  <si>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</si>
  <si>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</si>
  <si>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</si>
  <si>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</si>
  <si>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</si>
  <si>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</si>
  <si>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</si>
  <si>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</si>
  <si>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</si>
  <si>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</si>
  <si>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</si>
  <si>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</si>
  <si>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</si>
  <si>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</si>
  <si>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</si>
  <si>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</si>
  <si>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</si>
  <si>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</si>
  <si>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</si>
  <si>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</si>
  <si>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</si>
  <si>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</si>
  <si>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</si>
  <si>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</si>
  <si>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</si>
  <si>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</si>
  <si>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</si>
  <si>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</si>
  <si>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</si>
  <si>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</si>
  <si>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</si>
  <si>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</si>
  <si>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</si>
  <si>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</si>
  <si>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</si>
  <si>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</si>
  <si>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</si>
  <si>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</si>
  <si>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</si>
  <si>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</si>
  <si>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</si>
  <si>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</si>
  <si>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</si>
  <si>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</si>
  <si>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</si>
  <si>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</si>
  <si>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</si>
  <si>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</si>
  <si>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</si>
  <si>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</si>
  <si>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</si>
  <si>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</si>
  <si>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</si>
  <si>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</si>
  <si>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</si>
  <si>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</si>
  <si>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</si>
  <si>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</si>
  <si>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</si>
  <si>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</si>
  <si>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</si>
  <si>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</si>
  <si>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</si>
  <si>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</si>
  <si>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</si>
  <si>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</si>
  <si>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</si>
  <si>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</si>
  <si>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</si>
  <si>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</si>
  <si>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</si>
  <si>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</si>
  <si>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</si>
  <si>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</si>
  <si>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</si>
  <si>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</si>
  <si>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</si>
  <si>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</si>
  <si>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</si>
  <si>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</si>
  <si>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</si>
  <si>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</si>
  <si>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</si>
  <si>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</si>
  <si>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</si>
  <si>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</si>
  <si>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</si>
  <si>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</si>
  <si>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</si>
  <si>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</si>
  <si>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</si>
  <si>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</si>
  <si>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</si>
  <si>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</si>
  <si>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</si>
  <si>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</si>
  <si>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</si>
  <si>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</si>
  <si>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</si>
  <si>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</si>
  <si>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</si>
  <si>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</si>
  <si>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</si>
  <si>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</si>
  <si>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</si>
  <si>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</si>
  <si>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</si>
  <si>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</si>
  <si>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</si>
  <si>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</si>
  <si>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</si>
  <si>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</si>
  <si>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</si>
  <si>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</si>
  <si>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</si>
  <si>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</si>
  <si>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</si>
  <si>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</si>
  <si>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</si>
  <si>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</si>
  <si>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</si>
  <si>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</si>
  <si>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</si>
  <si>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</si>
  <si>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</si>
  <si>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</si>
  <si>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</si>
  <si>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</si>
  <si>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</si>
  <si>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</si>
  <si>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</si>
  <si>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</si>
  <si>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</si>
  <si>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</si>
  <si>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</si>
  <si>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</si>
  <si>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</si>
  <si>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</si>
  <si>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</si>
  <si>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</si>
  <si>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</si>
  <si>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</si>
  <si>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</si>
  <si>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</si>
  <si>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</si>
  <si>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</si>
  <si>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</si>
  <si>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</si>
  <si>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</si>
  <si>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</si>
  <si>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</si>
  <si>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</si>
  <si>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</si>
  <si>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</si>
  <si>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</si>
  <si>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</si>
  <si>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</si>
  <si>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</si>
  <si>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</si>
  <si>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</si>
  <si>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</si>
  <si>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</si>
  <si>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</si>
  <si>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</si>
  <si>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</si>
  <si>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</si>
  <si>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</si>
  <si>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</si>
  <si>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</si>
  <si>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</si>
  <si>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</si>
  <si>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</si>
  <si>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</si>
  <si>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</si>
  <si>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</si>
  <si>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</si>
  <si>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</si>
  <si>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</si>
  <si>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</si>
  <si>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</si>
  <si>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</si>
  <si>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</si>
  <si>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</si>
  <si>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</si>
  <si>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</si>
  <si>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</si>
  <si>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</si>
  <si>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</si>
  <si>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</si>
  <si>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</si>
  <si>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</si>
  <si>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</si>
  <si>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</si>
  <si>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</si>
  <si>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</si>
  <si>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</si>
  <si>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</si>
  <si>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</si>
  <si>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</si>
  <si>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</si>
  <si>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</si>
  <si>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</si>
  <si>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</si>
  <si>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</si>
  <si>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</si>
  <si>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</si>
  <si>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</si>
  <si>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</si>
  <si>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</si>
  <si>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</si>
  <si>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</si>
  <si>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</si>
  <si>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</si>
  <si>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</si>
  <si>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</si>
  <si>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</si>
  <si>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</si>
  <si>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</si>
  <si>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</si>
  <si>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</si>
  <si>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</si>
  <si>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</si>
  <si>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</si>
  <si>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</si>
  <si>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</si>
  <si>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</si>
  <si>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</si>
  <si>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</si>
  <si>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</si>
  <si>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</si>
  <si>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</si>
  <si>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</si>
  <si>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</si>
  <si>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</si>
  <si>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</si>
  <si>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</si>
  <si>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</si>
  <si>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</si>
  <si>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</si>
  <si>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</si>
  <si>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</si>
  <si>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</si>
  <si>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</si>
  <si>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</si>
  <si>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</si>
  <si>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</si>
  <si>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</si>
  <si>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</si>
  <si>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</si>
  <si>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</si>
  <si>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</si>
  <si>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</si>
  <si>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</si>
  <si>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</si>
  <si>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</si>
  <si>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</si>
  <si>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</si>
  <si>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</si>
  <si>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</si>
  <si>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</si>
  <si>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</si>
  <si>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</si>
  <si>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</si>
  <si>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</si>
  <si>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</si>
  <si>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</si>
  <si>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</si>
  <si>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</si>
  <si>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</si>
  <si>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</si>
  <si>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</si>
  <si>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</si>
  <si>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</si>
  <si>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</si>
  <si>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</si>
  <si>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</si>
  <si>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</si>
  <si>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</si>
  <si>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</si>
  <si>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</si>
  <si>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</si>
  <si>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</si>
  <si>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</si>
  <si>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</si>
  <si>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</si>
  <si>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</si>
  <si>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</si>
  <si>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</si>
  <si>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</si>
  <si>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</si>
  <si>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</si>
  <si>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</si>
  <si>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</si>
  <si>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</si>
  <si>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</si>
  <si>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</si>
  <si>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</si>
  <si>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</si>
  <si>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</si>
  <si>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</si>
  <si>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</si>
  <si>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</si>
  <si>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</si>
  <si>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</si>
  <si>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</si>
  <si>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</si>
  <si>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</si>
  <si>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</si>
  <si>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</si>
  <si>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</si>
  <si>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</si>
  <si>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</si>
  <si>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</si>
  <si>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</si>
  <si>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</si>
  <si>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</si>
  <si>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</si>
  <si>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</si>
  <si>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</si>
  <si>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</si>
  <si>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</si>
  <si>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</si>
  <si>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</si>
  <si>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</si>
  <si>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</si>
  <si>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</si>
  <si>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</si>
  <si>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</si>
  <si>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</si>
  <si>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</si>
  <si>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</si>
  <si>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</si>
  <si>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</si>
  <si>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</si>
  <si>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</si>
  <si>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</si>
  <si>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</si>
  <si>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</si>
  <si>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</si>
  <si>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</si>
  <si>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</si>
  <si>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</si>
  <si>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</si>
  <si>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</si>
  <si>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</si>
  <si>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</si>
  <si>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</si>
  <si>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</si>
  <si>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</si>
  <si>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</si>
  <si>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</si>
  <si>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</si>
  <si>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</si>
  <si>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</si>
  <si>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</si>
  <si>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</si>
  <si>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</si>
  <si>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</si>
  <si>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</si>
  <si>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</si>
  <si>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</si>
  <si>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</si>
  <si>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</si>
  <si>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</si>
  <si>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</si>
  <si>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</si>
  <si>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</si>
  <si>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</si>
  <si>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</si>
  <si>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</si>
  <si>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</si>
  <si>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</si>
  <si>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</si>
  <si>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</si>
  <si>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</si>
  <si>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</si>
  <si>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</si>
  <si>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</si>
  <si>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</si>
  <si>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</si>
  <si>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</si>
  <si>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</si>
  <si>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</si>
  <si>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</si>
  <si>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</si>
  <si>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</si>
  <si>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</si>
  <si>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</si>
  <si>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</si>
  <si>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</si>
  <si>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</si>
  <si>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</si>
  <si>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</si>
  <si>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</si>
  <si>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</si>
  <si>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</si>
  <si>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</si>
  <si>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</si>
  <si>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</si>
  <si>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</si>
  <si>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</si>
  <si>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</si>
  <si>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</si>
  <si>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</si>
  <si>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</si>
  <si>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</si>
  <si>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</si>
  <si>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</si>
  <si>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</si>
  <si>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</si>
  <si>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</si>
  <si>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</si>
  <si>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</si>
  <si>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</si>
  <si>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</si>
  <si>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</si>
  <si>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</si>
  <si>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</si>
  <si>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</si>
  <si>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</si>
  <si>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</si>
  <si>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</si>
  <si>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</si>
  <si>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</si>
  <si>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</si>
  <si>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</si>
  <si>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</si>
  <si>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</si>
  <si>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</si>
  <si>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</si>
  <si>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</si>
  <si>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</si>
  <si>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</si>
  <si>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</si>
  <si>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</si>
  <si>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</si>
  <si>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</si>
  <si>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</si>
  <si>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</si>
  <si>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</si>
  <si>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</si>
  <si>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</si>
  <si>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</si>
  <si>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</si>
  <si>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</si>
  <si>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</si>
  <si>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</si>
  <si>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</si>
  <si>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</si>
  <si>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</si>
  <si>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</si>
  <si>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</si>
  <si>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</si>
  <si>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</si>
  <si>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</si>
  <si>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</si>
  <si>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</si>
  <si>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</si>
  <si>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</si>
  <si>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</si>
  <si>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</si>
  <si>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</si>
  <si>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</si>
  <si>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</si>
  <si>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</si>
  <si>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</si>
  <si>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</si>
  <si>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</si>
  <si>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</si>
  <si>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</si>
  <si>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</si>
  <si>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</si>
  <si>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</si>
  <si>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</si>
  <si>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</si>
  <si>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</si>
  <si>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</si>
  <si>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</si>
  <si>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</si>
  <si>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</si>
  <si>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</si>
  <si>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</si>
  <si>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</si>
  <si>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</si>
  <si>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</si>
  <si>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</si>
  <si>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</si>
  <si>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</si>
  <si>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</si>
  <si>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</si>
  <si>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</si>
  <si>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</si>
  <si>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</si>
  <si>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</si>
  <si>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</si>
  <si>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</si>
  <si>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</si>
  <si>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</si>
  <si>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</si>
  <si>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</si>
  <si>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</si>
  <si>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</si>
  <si>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</si>
  <si>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</si>
  <si>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</si>
  <si>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</si>
  <si>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</si>
  <si>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</si>
  <si>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</si>
  <si>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</si>
  <si>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</si>
  <si>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</si>
  <si>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</si>
  <si>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</si>
  <si>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</si>
  <si>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</si>
  <si>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</si>
  <si>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</si>
  <si>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</si>
  <si>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</si>
  <si>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</si>
  <si>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</si>
  <si>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</si>
  <si>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</si>
  <si>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</si>
  <si>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</si>
  <si>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</si>
  <si>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</si>
  <si>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</si>
  <si>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</si>
  <si>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</si>
  <si>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</si>
  <si>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</si>
  <si>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</si>
  <si>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</si>
  <si>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</si>
  <si>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</si>
  <si>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</si>
  <si>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</si>
  <si>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</si>
  <si>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</si>
  <si>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</si>
  <si>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</si>
  <si>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</si>
  <si>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</si>
  <si>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</si>
  <si>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</si>
  <si>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</si>
  <si>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</si>
  <si>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</si>
  <si>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</si>
  <si>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</si>
  <si>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</si>
  <si>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</si>
  <si>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</si>
  <si>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</si>
  <si>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</si>
  <si>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</si>
  <si>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</si>
  <si>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</si>
  <si>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</si>
  <si>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</si>
  <si>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</si>
  <si>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</si>
  <si>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</si>
  <si>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</si>
  <si>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</si>
  <si>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</si>
  <si>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</si>
  <si>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</si>
  <si>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</si>
  <si>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</si>
  <si>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</si>
  <si>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</si>
  <si>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</si>
  <si>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</si>
  <si>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</si>
  <si>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</si>
  <si>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</si>
  <si>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</si>
  <si>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</si>
  <si>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</si>
  <si>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</si>
  <si>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</si>
  <si>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</si>
  <si>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</si>
  <si>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</si>
  <si>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</si>
  <si>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</si>
  <si>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</si>
  <si>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</si>
  <si>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</si>
  <si>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</si>
  <si>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</si>
  <si>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</si>
  <si>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</si>
  <si>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</si>
  <si>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</si>
  <si>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</si>
  <si>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</si>
  <si>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</si>
  <si>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</si>
  <si>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</si>
  <si>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</si>
  <si>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</si>
  <si>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</si>
  <si>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</si>
  <si>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</si>
  <si>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</si>
  <si>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</si>
  <si>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</si>
  <si>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</si>
  <si>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</si>
  <si>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</si>
  <si>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</si>
  <si>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</si>
  <si>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</si>
  <si>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</si>
  <si>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</si>
  <si>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</si>
  <si>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</si>
  <si>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</si>
  <si>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</si>
  <si>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</si>
  <si>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</si>
  <si>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</si>
  <si>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</si>
  <si>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</si>
  <si>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</si>
  <si>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</si>
  <si>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</si>
  <si>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</si>
  <si>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</si>
  <si>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</si>
  <si>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</si>
  <si>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</si>
  <si>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</si>
  <si>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</si>
  <si>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</si>
  <si>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</si>
  <si>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</si>
  <si>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</si>
  <si>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</si>
  <si>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</si>
  <si>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</si>
  <si>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</si>
  <si>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</si>
  <si>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</si>
  <si>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</si>
  <si>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</si>
  <si>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</si>
  <si>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</si>
  <si>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</si>
  <si>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</si>
  <si>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</si>
  <si>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</si>
  <si>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</si>
  <si>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</si>
  <si>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</si>
  <si>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</si>
  <si>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</si>
  <si>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</si>
  <si>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</si>
  <si>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</si>
  <si>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</si>
  <si>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</si>
  <si>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</si>
  <si>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</si>
  <si>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</si>
  <si>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</si>
  <si>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</si>
  <si>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</si>
  <si>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</si>
  <si>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</si>
  <si>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</si>
  <si>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</si>
  <si>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</si>
  <si>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</si>
  <si>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</si>
  <si>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</si>
  <si>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</si>
  <si>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</si>
  <si>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</si>
  <si>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</si>
  <si>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</si>
  <si>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</si>
  <si>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</si>
  <si>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</si>
  <si>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</si>
  <si>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</si>
  <si>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</si>
  <si>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</si>
  <si>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</si>
  <si>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</si>
  <si>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</si>
  <si>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</si>
  <si>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</si>
  <si>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</si>
  <si>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</si>
  <si>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</si>
  <si>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</si>
  <si>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</si>
  <si>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</si>
  <si>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</si>
  <si>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</si>
  <si>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</si>
  <si>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</si>
  <si>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</si>
  <si>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</si>
  <si>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</si>
  <si>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</si>
  <si>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</si>
  <si>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</si>
  <si>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</si>
  <si>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</si>
  <si>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</si>
  <si>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</si>
  <si>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</si>
  <si>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</si>
  <si>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</si>
  <si>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</si>
  <si>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</si>
  <si>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</si>
  <si>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</si>
  <si>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</si>
  <si>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</si>
  <si>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</si>
  <si>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</si>
  <si>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</si>
  <si>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</si>
  <si>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</si>
  <si>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</si>
  <si>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</si>
  <si>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</si>
  <si>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</si>
  <si>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</si>
  <si>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</si>
  <si>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</si>
  <si>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</si>
  <si>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</si>
  <si>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</si>
  <si>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</si>
  <si>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</si>
  <si>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</si>
  <si>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</si>
  <si>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</si>
  <si>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</si>
  <si>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</si>
  <si>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</si>
  <si>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</si>
  <si>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</si>
  <si>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</si>
  <si>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</si>
  <si>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</si>
  <si>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</si>
  <si>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</si>
  <si>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</si>
  <si>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</si>
  <si>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</si>
  <si>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</si>
  <si>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</si>
  <si>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</si>
  <si>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</si>
  <si>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</si>
  <si>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</si>
  <si>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</si>
  <si>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</si>
  <si>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</si>
  <si>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</si>
  <si>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</si>
  <si>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</si>
  <si>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</si>
  <si>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</si>
  <si>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</si>
  <si>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</si>
  <si>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</si>
  <si>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</si>
  <si>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</si>
  <si>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</si>
  <si>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</si>
  <si>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</si>
  <si>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</si>
  <si>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</si>
  <si>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</si>
  <si>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</si>
  <si>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</si>
  <si>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</si>
  <si>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</si>
  <si>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</si>
  <si>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</si>
  <si>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</si>
  <si>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</si>
  <si>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</si>
  <si>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</si>
  <si>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</si>
  <si>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</si>
  <si>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</si>
  <si>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</si>
  <si>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</si>
  <si>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</si>
  <si>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</si>
  <si>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</si>
  <si>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</si>
  <si>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</si>
  <si>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</si>
  <si>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</si>
  <si>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</si>
  <si>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</si>
  <si>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</si>
  <si>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</si>
  <si>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</si>
  <si>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</si>
  <si>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</si>
  <si>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</si>
  <si>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</si>
  <si>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</si>
  <si>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</si>
  <si>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</si>
  <si>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</si>
  <si>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</si>
  <si>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</si>
  <si>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</si>
  <si>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</si>
  <si>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</si>
  <si>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</si>
  <si>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</si>
  <si>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</si>
  <si>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</si>
  <si>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</si>
  <si>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</si>
  <si>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</si>
  <si>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</si>
  <si>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</si>
  <si>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</si>
  <si>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</si>
  <si>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</si>
  <si>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</si>
  <si>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</si>
  <si>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</si>
  <si>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</si>
  <si>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</si>
  <si>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</si>
  <si>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</si>
  <si>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</si>
  <si>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</si>
  <si>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</si>
  <si>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</si>
  <si>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</si>
  <si>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</si>
  <si>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</si>
  <si>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</si>
  <si>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</si>
  <si>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</si>
  <si>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</si>
  <si>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</si>
  <si>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</si>
  <si>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</si>
  <si>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</si>
  <si>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</si>
  <si>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</si>
  <si>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</si>
  <si>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</si>
  <si>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</si>
  <si>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</si>
  <si>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</si>
  <si>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</si>
  <si>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</si>
  <si>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</si>
  <si>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</si>
  <si>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</si>
  <si>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</si>
  <si>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</si>
  <si>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</si>
  <si>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</si>
  <si>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</si>
  <si>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</si>
  <si>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</si>
  <si>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</si>
  <si>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</si>
  <si>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</si>
  <si>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</si>
  <si>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</si>
  <si>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</si>
  <si>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</si>
  <si>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</si>
  <si>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</si>
  <si>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</si>
  <si>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</si>
  <si>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</si>
  <si>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</si>
  <si>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</si>
  <si>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</si>
  <si>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</si>
  <si>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</si>
  <si>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</si>
  <si>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</si>
  <si>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</si>
  <si>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</si>
  <si>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</si>
  <si>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</si>
  <si>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</si>
  <si>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</si>
  <si>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</si>
  <si>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</si>
  <si>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</si>
  <si>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</si>
  <si>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</si>
  <si>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</si>
  <si>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</si>
  <si>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</si>
  <si>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</si>
  <si>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</si>
  <si>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</si>
  <si>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</si>
  <si>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</si>
  <si>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</si>
  <si>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</si>
  <si>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</si>
  <si>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</si>
  <si>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</si>
  <si>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</si>
  <si>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</si>
  <si>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</si>
  <si>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</si>
  <si>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</si>
  <si>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</si>
  <si>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</si>
  <si>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</si>
  <si>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</si>
  <si>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</si>
  <si>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</si>
  <si>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</si>
  <si>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</si>
  <si>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</si>
  <si>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</si>
  <si>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</si>
  <si>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</si>
  <si>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</si>
  <si>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</si>
  <si>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</si>
  <si>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</si>
  <si>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</si>
  <si>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</si>
  <si>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</si>
  <si>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</si>
  <si>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</si>
  <si>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</si>
  <si>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</si>
  <si>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</si>
  <si>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</si>
  <si>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</si>
  <si>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</si>
  <si>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</si>
  <si>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</si>
  <si>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</si>
  <si>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</si>
  <si>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</si>
  <si>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</si>
  <si>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</si>
  <si>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</si>
  <si>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</si>
  <si>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</si>
  <si>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</si>
  <si>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</si>
  <si>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</si>
  <si>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</si>
  <si>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</si>
  <si>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</si>
  <si>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</si>
  <si>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</si>
  <si>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</si>
  <si>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</si>
  <si>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</si>
  <si>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</si>
  <si>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</si>
  <si>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</si>
  <si>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</si>
  <si>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</si>
  <si>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</si>
  <si>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</si>
  <si>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</si>
  <si>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</si>
  <si>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</si>
  <si>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</si>
  <si>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</si>
  <si>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</si>
  <si>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</si>
  <si>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</si>
  <si>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</si>
  <si>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</si>
  <si>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</si>
  <si>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</si>
  <si>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</si>
  <si>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</si>
  <si>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</si>
  <si>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</si>
  <si>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</si>
  <si>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</si>
  <si>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</si>
  <si>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</si>
  <si>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</si>
  <si>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</si>
  <si>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</si>
  <si>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</si>
  <si>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</si>
  <si>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</si>
  <si>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</si>
  <si>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</si>
  <si>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</si>
  <si>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</si>
  <si>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</si>
  <si>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</si>
  <si>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</si>
  <si>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</si>
  <si>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</si>
  <si>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</si>
  <si>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</si>
  <si>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</si>
  <si>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</si>
  <si>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</si>
  <si>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</si>
  <si>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</si>
  <si>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</si>
  <si>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</si>
  <si>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</si>
  <si>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</si>
  <si>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</si>
  <si>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</si>
  <si>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</si>
  <si>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</si>
  <si>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</si>
  <si>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</si>
  <si>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</si>
  <si>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</si>
  <si>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</si>
  <si>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</si>
  <si>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</si>
  <si>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</si>
  <si>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</si>
  <si>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</si>
  <si>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</si>
  <si>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</si>
  <si>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</si>
  <si>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</si>
  <si>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</si>
  <si>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</si>
  <si>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</si>
  <si>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</si>
  <si>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</si>
  <si>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</si>
  <si>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</si>
  <si>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</si>
  <si>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</si>
  <si>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</si>
  <si>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</si>
  <si>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</si>
  <si>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</si>
  <si>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</si>
  <si>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</si>
  <si>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</si>
  <si>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</si>
  <si>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</si>
  <si>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</si>
  <si>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</si>
  <si>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</si>
  <si>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</si>
  <si>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</si>
  <si>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</si>
  <si>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</si>
  <si>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</si>
  <si>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</si>
  <si>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</si>
  <si>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</si>
  <si>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</si>
  <si>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</si>
  <si>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</si>
  <si>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</si>
  <si>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</si>
  <si>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</si>
  <si>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</si>
  <si>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</si>
  <si>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</si>
  <si>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</si>
  <si>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</si>
  <si>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</si>
  <si>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</si>
  <si>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</si>
  <si>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</si>
  <si>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</si>
  <si>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</si>
  <si>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</si>
  <si>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</si>
  <si>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</si>
  <si>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</si>
  <si>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</si>
  <si>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</si>
  <si>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</si>
  <si>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</si>
  <si>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</si>
  <si>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</si>
  <si>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</si>
  <si>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</si>
  <si>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</si>
  <si>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</si>
  <si>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</si>
  <si>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</si>
  <si>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</si>
  <si>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</si>
  <si>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</si>
  <si>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</si>
  <si>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</si>
  <si>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</si>
  <si>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</si>
  <si>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</si>
  <si>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</si>
  <si>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</si>
  <si>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</si>
  <si>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</si>
  <si>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</si>
  <si>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</si>
  <si>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</si>
  <si>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</si>
  <si>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</si>
  <si>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</si>
  <si>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</si>
  <si>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</si>
  <si>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</si>
  <si>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</si>
  <si>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</si>
  <si>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</si>
  <si>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</si>
  <si>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</si>
  <si>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</si>
  <si>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</si>
  <si>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</si>
  <si>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</si>
  <si>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</si>
  <si>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</si>
  <si>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</si>
  <si>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</si>
  <si>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</si>
  <si>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</si>
  <si>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</si>
  <si>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</si>
  <si>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</si>
  <si>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</si>
  <si>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</si>
  <si>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</si>
  <si>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</si>
  <si>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</si>
  <si>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</si>
  <si>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</si>
  <si>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</si>
  <si>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</si>
  <si>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</si>
  <si>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</si>
  <si>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</si>
  <si>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</si>
  <si>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</si>
  <si>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</si>
  <si>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</si>
  <si>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</si>
  <si>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</si>
  <si>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</si>
  <si>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</si>
  <si>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</si>
  <si>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</si>
  <si>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</si>
  <si>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</si>
  <si>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</si>
  <si>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</si>
  <si>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</si>
  <si>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</si>
  <si>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</si>
  <si>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</si>
  <si>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</si>
  <si>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</si>
  <si>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</si>
  <si>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</si>
  <si>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</si>
  <si>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</si>
  <si>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</si>
  <si>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</si>
  <si>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</si>
  <si>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</si>
  <si>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</si>
  <si>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</si>
  <si>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</si>
  <si>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</si>
  <si>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</si>
  <si>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</si>
  <si>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</si>
  <si>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</si>
  <si>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</si>
  <si>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</si>
  <si>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</si>
  <si>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</si>
  <si>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</si>
  <si>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</si>
  <si>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</si>
  <si>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</si>
  <si>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</si>
  <si>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</si>
  <si>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</si>
  <si>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</si>
  <si>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</si>
  <si>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</si>
  <si>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</si>
  <si>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</si>
  <si>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</si>
  <si>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</si>
  <si>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</si>
  <si>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</si>
  <si>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</si>
  <si>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</si>
  <si>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</si>
  <si>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</si>
  <si>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</si>
  <si>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</si>
  <si>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</si>
  <si>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</si>
  <si>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</si>
  <si>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</si>
  <si>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</si>
  <si>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</si>
  <si>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</si>
  <si>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</si>
  <si>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</si>
  <si>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</si>
  <si>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</si>
  <si>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</si>
  <si>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</si>
  <si>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</si>
  <si>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</si>
  <si>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</si>
  <si>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</si>
  <si>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</si>
  <si>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</si>
  <si>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</si>
  <si>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</si>
  <si>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</si>
  <si>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</si>
  <si>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</si>
  <si>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</si>
  <si>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</si>
  <si>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</si>
  <si>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</si>
  <si>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</si>
  <si>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</si>
  <si>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</si>
  <si>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</si>
  <si>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</si>
  <si>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</si>
  <si>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</si>
  <si>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</si>
  <si>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</si>
  <si>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</si>
  <si>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</si>
  <si>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</si>
  <si>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</si>
  <si>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</si>
  <si>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</si>
  <si>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</si>
  <si>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</si>
  <si>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</si>
  <si>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</si>
  <si>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</si>
  <si>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</si>
  <si>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</si>
  <si>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</si>
  <si>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</si>
  <si>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</si>
  <si>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</si>
  <si>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</si>
  <si>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</si>
  <si>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</si>
  <si>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</si>
  <si>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</si>
  <si>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</si>
  <si>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</si>
  <si>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</si>
  <si>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</si>
  <si>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</si>
  <si>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</si>
  <si>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</si>
  <si>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</si>
  <si>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</si>
  <si>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</si>
  <si>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</si>
  <si>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</si>
  <si>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</si>
  <si>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</si>
  <si>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</si>
  <si>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</si>
  <si>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</si>
  <si>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</si>
  <si>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</si>
  <si>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</si>
  <si>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</si>
  <si>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</si>
  <si>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</si>
  <si>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</si>
  <si>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</si>
  <si>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</si>
  <si>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</si>
  <si>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</si>
  <si>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</si>
  <si>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</si>
  <si>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</si>
  <si>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</si>
  <si>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</si>
  <si>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</si>
  <si>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</si>
  <si>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</si>
  <si>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</si>
  <si>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</si>
  <si>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</si>
  <si>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</si>
  <si>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</si>
  <si>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</si>
  <si>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</si>
  <si>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</si>
  <si>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</si>
  <si>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</si>
  <si>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</si>
  <si>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</si>
  <si>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</si>
  <si>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</si>
  <si>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</si>
  <si>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</si>
  <si>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</si>
  <si>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</si>
  <si>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</si>
  <si>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</si>
  <si>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</si>
  <si>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</si>
  <si>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</si>
  <si>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</si>
  <si>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</si>
  <si>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</si>
  <si>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</si>
  <si>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</si>
  <si>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</si>
  <si>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</si>
  <si>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</si>
  <si>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</si>
  <si>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</si>
  <si>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</si>
  <si>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</si>
  <si>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</si>
  <si>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</si>
  <si>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</si>
  <si>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</si>
  <si>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</si>
  <si>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</si>
  <si>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</si>
  <si>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</si>
  <si>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</si>
  <si>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</si>
  <si>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</si>
  <si>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</si>
  <si>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</si>
  <si>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</si>
  <si>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</si>
  <si>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</si>
  <si>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</si>
  <si>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</si>
  <si>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</si>
  <si>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</si>
  <si>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</si>
  <si>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</si>
  <si>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</si>
  <si>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</si>
  <si>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</si>
  <si>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</si>
  <si>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</si>
  <si>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</si>
  <si>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</si>
  <si>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</si>
  <si>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</si>
  <si>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</si>
  <si>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</si>
  <si>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</si>
  <si>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</si>
  <si>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</si>
  <si>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</si>
  <si>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</si>
  <si>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</si>
  <si>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</si>
  <si>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</si>
  <si>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</si>
  <si>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</si>
  <si>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</si>
  <si>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</si>
  <si>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</si>
  <si>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</si>
  <si>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</si>
  <si>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</si>
  <si>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</si>
  <si>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</si>
  <si>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</si>
  <si>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</si>
  <si>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</si>
  <si>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</si>
  <si>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</si>
  <si>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</si>
  <si>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</si>
  <si>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</si>
  <si>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</si>
  <si>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</si>
  <si>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</si>
  <si>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</si>
  <si>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</si>
  <si>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</si>
  <si>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</si>
  <si>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</si>
  <si>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</si>
  <si>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</si>
  <si>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</si>
  <si>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</si>
  <si>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</si>
  <si>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</si>
  <si>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</si>
  <si>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</si>
  <si>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</si>
  <si>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</si>
  <si>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</si>
  <si>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</si>
  <si>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</si>
  <si>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</si>
  <si>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</si>
  <si>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</si>
  <si>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</si>
  <si>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</si>
  <si>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</si>
  <si>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</si>
  <si>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</si>
  <si>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</si>
  <si>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</si>
  <si>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</si>
  <si>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</si>
  <si>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</si>
  <si>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</si>
  <si>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</si>
  <si>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</si>
  <si>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</si>
  <si>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</si>
  <si>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</si>
  <si>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</si>
  <si>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</si>
  <si>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</si>
  <si>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</si>
  <si>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</si>
  <si>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</si>
  <si>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</si>
  <si>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</si>
  <si>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</si>
  <si>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</si>
  <si>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</si>
  <si>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</si>
  <si>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</si>
  <si>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</si>
  <si>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</si>
  <si>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</si>
  <si>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</si>
  <si>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</si>
  <si>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</si>
  <si>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</si>
  <si>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</si>
  <si>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</si>
  <si>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</si>
  <si>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</si>
  <si>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</si>
  <si>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</si>
  <si>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</si>
  <si>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</si>
  <si>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</si>
  <si>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</si>
  <si>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</si>
  <si>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</si>
  <si>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</si>
  <si>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</si>
  <si>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</si>
  <si>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</si>
  <si>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</si>
  <si>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</si>
  <si>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</si>
  <si>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</si>
  <si>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</si>
  <si>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</si>
  <si>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</si>
  <si>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</si>
  <si>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</si>
  <si>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</si>
  <si>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</si>
  <si>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</si>
  <si>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</si>
  <si>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</si>
  <si>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</si>
  <si>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</si>
  <si>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</si>
  <si>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</si>
  <si>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</si>
  <si>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</si>
  <si>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</si>
  <si>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</si>
  <si>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</si>
  <si>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</si>
  <si>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</si>
  <si>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</si>
  <si>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</si>
  <si>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</si>
  <si>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</si>
  <si>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</si>
  <si>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</si>
  <si>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</si>
  <si>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</si>
  <si>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</si>
  <si>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</si>
  <si>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</si>
  <si>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</si>
  <si>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</si>
  <si>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</si>
  <si>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</si>
  <si>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</si>
  <si>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</si>
  <si>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</si>
  <si>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</si>
  <si>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</si>
  <si>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</si>
  <si>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</si>
  <si>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</si>
  <si>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</si>
  <si>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</si>
  <si>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</si>
  <si>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</si>
  <si>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</si>
  <si>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</si>
  <si>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</si>
  <si>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</si>
  <si>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</si>
  <si>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</si>
  <si>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</si>
  <si>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</si>
  <si>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</si>
  <si>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</si>
  <si>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</si>
  <si>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</si>
  <si>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</si>
  <si>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</si>
  <si>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</si>
  <si>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</si>
  <si>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</si>
  <si>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</si>
  <si>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</si>
  <si>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</si>
  <si>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</si>
  <si>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</si>
  <si>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</si>
  <si>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</si>
  <si>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</si>
  <si>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</si>
  <si>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</si>
  <si>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</si>
  <si>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</si>
  <si>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</si>
  <si>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</si>
  <si>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</si>
  <si>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</si>
  <si>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</si>
  <si>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</si>
  <si>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</si>
  <si>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</si>
  <si>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</si>
  <si>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</si>
  <si>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</si>
  <si>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</si>
  <si>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</si>
  <si>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</si>
  <si>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</si>
  <si>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</si>
  <si>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</si>
  <si>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</si>
  <si>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</si>
  <si>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</si>
  <si>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</si>
  <si>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</si>
  <si>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</si>
  <si>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</si>
  <si>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</si>
  <si>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</si>
  <si>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</si>
  <si>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</si>
  <si>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</si>
  <si>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</si>
  <si>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</si>
  <si>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</si>
  <si>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</si>
  <si>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</si>
  <si>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</si>
  <si>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</si>
  <si>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</si>
  <si>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</si>
  <si>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</si>
  <si>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</si>
  <si>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</si>
  <si>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</si>
  <si>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</si>
  <si>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</si>
  <si>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</si>
  <si>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</si>
  <si>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</si>
  <si>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</si>
  <si>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</si>
  <si>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</si>
  <si>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</si>
  <si>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</si>
  <si>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</si>
  <si>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</si>
  <si>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</si>
  <si>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</si>
  <si>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</si>
  <si>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</si>
  <si>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</si>
  <si>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</si>
  <si>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</si>
  <si>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</si>
  <si>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</si>
  <si>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</si>
  <si>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</si>
  <si>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</si>
  <si>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</si>
  <si>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</si>
  <si>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</si>
  <si>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</si>
  <si>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</si>
  <si>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</si>
  <si>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</si>
  <si>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</si>
  <si>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</si>
  <si>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</si>
  <si>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</si>
  <si>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</si>
  <si>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</si>
  <si>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</si>
  <si>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</si>
  <si>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</si>
  <si>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</si>
  <si>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</si>
  <si>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</si>
  <si>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</si>
  <si>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</si>
  <si>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</si>
  <si>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</si>
  <si>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</si>
  <si>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</si>
  <si>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</si>
  <si>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</si>
  <si>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</si>
  <si>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</si>
  <si>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</si>
  <si>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</si>
  <si>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</si>
  <si>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</si>
  <si>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</si>
  <si>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</si>
  <si>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</si>
  <si>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</si>
  <si>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</si>
  <si>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</si>
  <si>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</si>
  <si>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</si>
  <si>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</si>
  <si>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</si>
  <si>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</si>
  <si>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</si>
  <si>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</si>
  <si>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</si>
  <si>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</si>
  <si>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</si>
  <si>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</si>
  <si>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</si>
  <si>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</si>
  <si>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</si>
  <si>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</si>
  <si>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</si>
  <si>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</si>
  <si>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</si>
  <si>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</si>
  <si>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</si>
  <si>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</si>
  <si>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</si>
  <si>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</si>
  <si>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</si>
  <si>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</si>
  <si>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</si>
  <si>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</si>
  <si>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</si>
  <si>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</si>
  <si>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</si>
  <si>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</si>
  <si>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</si>
  <si>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</si>
  <si>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</si>
  <si>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</si>
  <si>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</si>
  <si>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</si>
  <si>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</si>
  <si>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</si>
  <si>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</si>
  <si>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</si>
  <si>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</si>
  <si>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</si>
  <si>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</si>
  <si>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</si>
  <si>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</si>
  <si>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</si>
  <si>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</si>
  <si>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</si>
  <si>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</si>
  <si>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</si>
  <si>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</si>
  <si>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</si>
  <si>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</si>
  <si>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</si>
  <si>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</si>
  <si>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</si>
  <si>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</si>
  <si>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</si>
  <si>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</si>
  <si>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</si>
  <si>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</si>
  <si>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</si>
  <si>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</si>
  <si>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</si>
  <si>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</si>
  <si>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</si>
  <si>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</si>
  <si>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</si>
  <si>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</si>
  <si>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</si>
  <si>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</si>
  <si>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</si>
  <si>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</si>
  <si>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</si>
  <si>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</si>
  <si>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</si>
  <si>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</si>
  <si>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</si>
  <si>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</si>
  <si>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</si>
  <si>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</si>
  <si>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</si>
  <si>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</si>
  <si>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</si>
  <si>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</si>
  <si>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</si>
  <si>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</si>
  <si>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</si>
  <si>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</si>
  <si>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</si>
  <si>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</si>
  <si>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</si>
  <si>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</si>
  <si>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</si>
  <si>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</si>
  <si>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</si>
  <si>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</si>
  <si>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</si>
  <si>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</si>
  <si>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</si>
  <si>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</si>
  <si>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</si>
  <si>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</si>
  <si>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</si>
  <si>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</si>
  <si>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</si>
  <si>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</si>
  <si>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</si>
  <si>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</si>
  <si>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</si>
  <si>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</si>
  <si>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</si>
  <si>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</si>
  <si>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</si>
  <si>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</si>
  <si>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</si>
  <si>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</si>
  <si>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</si>
  <si>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</si>
  <si>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</si>
  <si>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</si>
  <si>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</si>
  <si>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</si>
  <si>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</si>
  <si>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</si>
  <si>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</si>
  <si>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</si>
  <si>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</si>
  <si>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</si>
  <si>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</si>
  <si>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</si>
  <si>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</si>
  <si>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</si>
  <si>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</si>
  <si>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</si>
  <si>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</si>
  <si>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</si>
  <si>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</si>
  <si>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</si>
  <si>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</si>
  <si>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</si>
  <si>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</si>
  <si>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</si>
  <si>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</si>
  <si>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</si>
  <si>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</si>
  <si>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</si>
  <si>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</si>
  <si>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</si>
  <si>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</si>
  <si>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</si>
  <si>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</si>
  <si>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</si>
  <si>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</si>
  <si>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</si>
  <si>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</si>
  <si>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</si>
  <si>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</si>
  <si>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</si>
  <si>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</si>
  <si>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</si>
  <si>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</si>
  <si>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</si>
  <si>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</si>
  <si>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</si>
  <si>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</si>
  <si>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</si>
  <si>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</si>
  <si>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</si>
  <si>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</si>
  <si>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</si>
  <si>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</si>
  <si>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</si>
  <si>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</si>
  <si>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</si>
  <si>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</si>
  <si>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</si>
  <si>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</si>
  <si>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</si>
  <si>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</si>
  <si>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</si>
  <si>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</si>
  <si>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</si>
  <si>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</si>
  <si>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</si>
  <si>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</si>
  <si>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</si>
  <si>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</si>
  <si>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</si>
  <si>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</si>
  <si>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</si>
  <si>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</si>
  <si>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</si>
  <si>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</si>
  <si>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</si>
  <si>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</si>
  <si>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</si>
  <si>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</si>
  <si>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</si>
  <si>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</si>
  <si>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</si>
  <si>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</si>
  <si>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</si>
  <si>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</si>
  <si>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</si>
  <si>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</si>
  <si>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</si>
  <si>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</si>
  <si>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</si>
  <si>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</si>
  <si>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</si>
  <si>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</si>
  <si>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</si>
  <si>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</si>
  <si>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</si>
  <si>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</si>
  <si>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</si>
  <si>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</si>
  <si>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</si>
  <si>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</si>
  <si>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</si>
  <si>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</si>
  <si>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</si>
  <si>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</si>
  <si>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</si>
  <si>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</si>
  <si>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</si>
  <si>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</si>
  <si>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</si>
  <si>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</si>
  <si>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</si>
  <si>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</si>
  <si>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</si>
  <si>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</si>
  <si>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</si>
  <si>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</si>
  <si>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</si>
  <si>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</si>
  <si>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</si>
  <si>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</si>
  <si>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</si>
  <si>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</si>
  <si>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</si>
  <si>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</si>
  <si>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</si>
  <si>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</si>
  <si>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</si>
  <si>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</si>
  <si>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</si>
  <si>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</si>
  <si>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</si>
  <si>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</si>
  <si>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</si>
  <si>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</si>
  <si>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</si>
  <si>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</si>
  <si>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</si>
  <si>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</si>
  <si>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</si>
  <si>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</si>
  <si>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</si>
  <si>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</si>
  <si>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</si>
  <si>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</si>
  <si>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</si>
  <si>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</si>
  <si>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</si>
  <si>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</si>
  <si>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</si>
  <si>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</si>
  <si>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</si>
  <si>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</si>
  <si>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</si>
  <si>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</si>
  <si>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</si>
  <si>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</si>
  <si>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</si>
  <si>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</si>
  <si>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</si>
  <si>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</si>
  <si>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</si>
  <si>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</si>
  <si>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</si>
  <si>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</si>
  <si>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</si>
  <si>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</si>
  <si>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</si>
  <si>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</si>
  <si>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</si>
  <si>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</si>
  <si>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</si>
  <si>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</si>
  <si>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</si>
  <si>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</si>
  <si>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</si>
  <si>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</si>
  <si>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</si>
  <si>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</si>
  <si>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</si>
  <si>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</si>
  <si>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</si>
  <si>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</si>
  <si>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</si>
  <si>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</si>
  <si>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</si>
  <si>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</si>
  <si>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</si>
  <si>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</si>
  <si>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</si>
  <si>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</si>
  <si>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</si>
  <si>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</si>
  <si>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</si>
  <si>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</si>
  <si>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</si>
  <si>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</si>
  <si>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</si>
  <si>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</si>
  <si>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</si>
  <si>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</si>
  <si>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</si>
  <si>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</si>
  <si>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</si>
  <si>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</si>
  <si>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</si>
  <si>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</si>
  <si>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</si>
  <si>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</si>
  <si>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</si>
  <si>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</si>
  <si>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</si>
  <si>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</si>
  <si>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</si>
  <si>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</si>
  <si>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</si>
  <si>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</si>
  <si>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</si>
  <si>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</si>
  <si>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</si>
  <si>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</si>
  <si>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</si>
  <si>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</si>
  <si>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</si>
  <si>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</si>
  <si>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</si>
  <si>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</si>
  <si>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</si>
  <si>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</si>
  <si>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</si>
  <si>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</si>
  <si>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</si>
  <si>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</si>
  <si>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</si>
  <si>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</si>
  <si>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</si>
  <si>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</si>
  <si>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</si>
  <si>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</si>
  <si>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</si>
  <si>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</si>
  <si>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</si>
  <si>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</si>
  <si>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</si>
  <si>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</si>
  <si>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</si>
  <si>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</si>
  <si>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</si>
  <si>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</si>
  <si>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</si>
  <si>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</si>
  <si>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</si>
  <si>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</si>
  <si>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</si>
  <si>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</si>
  <si>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</si>
  <si>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</si>
  <si>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</si>
  <si>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</si>
  <si>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</si>
  <si>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</si>
  <si>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</si>
  <si>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</si>
  <si>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</si>
  <si>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</si>
  <si>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</si>
  <si>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</si>
  <si>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</si>
  <si>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</si>
  <si>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</si>
  <si>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</si>
  <si>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</si>
  <si>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</si>
  <si>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</si>
  <si>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</si>
  <si>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</si>
  <si>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</si>
  <si>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</si>
  <si>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</si>
  <si>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</si>
  <si>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</si>
  <si>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</si>
  <si>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</si>
  <si>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</si>
  <si>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</si>
  <si>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</si>
  <si>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</si>
  <si>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</si>
  <si>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</si>
  <si>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</si>
  <si>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</si>
  <si>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</si>
  <si>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</si>
  <si>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</si>
  <si>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</si>
  <si>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</si>
  <si>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</si>
  <si>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</si>
  <si>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</si>
  <si>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</si>
  <si>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</si>
  <si>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</si>
  <si>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</si>
  <si>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</si>
  <si>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</si>
  <si>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</si>
  <si>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</si>
  <si>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</si>
  <si>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</si>
  <si>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</si>
  <si>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</si>
  <si>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</si>
  <si>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</si>
  <si>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</si>
  <si>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</si>
  <si>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</si>
  <si>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</si>
  <si>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</si>
  <si>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</si>
  <si>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</si>
  <si>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</si>
  <si>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</si>
  <si>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</si>
  <si>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</si>
  <si>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</si>
  <si>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</si>
  <si>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</si>
  <si>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</si>
  <si>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</si>
  <si>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</si>
  <si>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</si>
  <si>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</si>
  <si>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</si>
  <si>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</si>
  <si>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</si>
  <si>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</si>
  <si>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</si>
  <si>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</si>
  <si>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</si>
  <si>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</si>
  <si>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</si>
  <si>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</si>
  <si>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</si>
  <si>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</si>
  <si>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</si>
  <si>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</si>
  <si>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</si>
  <si>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</si>
  <si>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</si>
  <si>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</si>
  <si>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</si>
  <si>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</si>
  <si>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</si>
  <si>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</si>
  <si>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</si>
  <si>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</si>
  <si>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</si>
  <si>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</si>
  <si>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</si>
  <si>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</si>
  <si>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</si>
  <si>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</si>
  <si>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</si>
  <si>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</si>
  <si>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</si>
  <si>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</si>
  <si>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</si>
  <si>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</si>
  <si>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</si>
  <si>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</si>
  <si>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</si>
  <si>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</si>
  <si>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</si>
  <si>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</si>
  <si>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</si>
  <si>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</si>
  <si>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</si>
  <si>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</si>
  <si>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</si>
  <si>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</si>
  <si>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</si>
  <si>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</si>
  <si>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</si>
  <si>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</si>
  <si>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</si>
  <si>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</si>
  <si>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</si>
  <si>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</si>
  <si>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</si>
  <si>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</si>
  <si>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</si>
  <si>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</si>
  <si>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</si>
  <si>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</si>
  <si>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</si>
  <si>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</si>
  <si>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</si>
  <si>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</si>
  <si>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</si>
  <si>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</si>
  <si>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</si>
  <si>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</si>
  <si>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</si>
  <si>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</si>
  <si>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</si>
  <si>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</si>
  <si>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</si>
  <si>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</si>
  <si>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</si>
  <si>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</si>
  <si>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</si>
  <si>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</si>
  <si>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</si>
  <si>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</si>
  <si>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</si>
  <si>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</si>
  <si>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</si>
  <si>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</si>
  <si>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</si>
  <si>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</si>
  <si>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</si>
  <si>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</si>
  <si>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</si>
  <si>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</si>
  <si>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</si>
  <si>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</si>
  <si>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</si>
  <si>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</si>
  <si>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</si>
  <si>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</si>
  <si>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</si>
  <si>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</si>
  <si>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</si>
  <si>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</si>
  <si>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</si>
  <si>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</si>
  <si>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</si>
  <si>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</si>
  <si>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</si>
  <si>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</si>
  <si>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</si>
  <si>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</si>
  <si>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</si>
  <si>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</si>
  <si>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</si>
  <si>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</si>
  <si>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</si>
  <si>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</si>
  <si>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</si>
  <si>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</si>
  <si>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</si>
  <si>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</si>
  <si>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</si>
  <si>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</si>
  <si>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</si>
  <si>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</si>
  <si>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</si>
  <si>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</si>
  <si>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</si>
  <si>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</si>
  <si>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</si>
  <si>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</si>
  <si>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</si>
  <si>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</si>
  <si>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</si>
  <si>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</si>
  <si>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</si>
  <si>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</si>
  <si>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</si>
  <si>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</si>
  <si>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</si>
  <si>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</si>
  <si>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</si>
  <si>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</si>
  <si>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</si>
  <si>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</si>
  <si>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</si>
  <si>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</si>
  <si>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</si>
  <si>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</si>
  <si>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</si>
  <si>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</si>
  <si>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</si>
  <si>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</si>
  <si>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</si>
  <si>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</si>
  <si>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</si>
  <si>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</si>
  <si>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</si>
  <si>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</si>
  <si>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</si>
  <si>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</si>
  <si>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</si>
  <si>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</si>
  <si>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</si>
  <si>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</si>
  <si>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</si>
  <si>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</si>
  <si>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</si>
  <si>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</si>
  <si>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</si>
  <si>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</si>
  <si>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</si>
  <si>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</si>
  <si>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</si>
  <si>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</si>
  <si>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</si>
  <si>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</si>
  <si>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</si>
  <si>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</si>
  <si>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</si>
  <si>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</si>
  <si>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</si>
  <si>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</si>
  <si>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</si>
  <si>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</si>
  <si>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</si>
  <si>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</si>
  <si>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</si>
  <si>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</si>
  <si>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</si>
  <si>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</si>
  <si>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</si>
  <si>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</si>
  <si>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</si>
  <si>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</si>
  <si>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</si>
  <si>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</si>
  <si>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</si>
  <si>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</si>
  <si>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</si>
  <si>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</si>
  <si>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</si>
  <si>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</si>
  <si>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</si>
  <si>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</si>
  <si>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</si>
  <si>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</si>
  <si>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</si>
  <si>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</si>
  <si>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</si>
  <si>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</si>
  <si>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</si>
  <si>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</si>
  <si>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</si>
  <si>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</si>
  <si>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</si>
  <si>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</si>
  <si>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</si>
  <si>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</si>
  <si>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</si>
  <si>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</si>
  <si>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</si>
  <si>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</si>
  <si>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</si>
  <si>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</si>
  <si>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</si>
  <si>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</si>
  <si>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</si>
  <si>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</si>
  <si>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</si>
  <si>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</si>
  <si>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</si>
  <si>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</si>
  <si>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</si>
  <si>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</si>
  <si>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</si>
  <si>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</si>
  <si>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</si>
  <si>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</si>
  <si>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</si>
  <si>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</si>
  <si>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</si>
  <si>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</si>
  <si>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</si>
  <si>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</si>
  <si>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</si>
  <si>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</si>
  <si>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</si>
  <si>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</si>
  <si>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</si>
  <si>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</si>
  <si>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</si>
  <si>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</si>
  <si>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</si>
  <si>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</si>
  <si>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</si>
  <si>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</si>
  <si>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</si>
  <si>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</si>
  <si>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</si>
  <si>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</si>
  <si>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</si>
  <si>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</si>
  <si>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</si>
  <si>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</si>
  <si>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</si>
  <si>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</si>
  <si>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</si>
  <si>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</si>
  <si>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</si>
  <si>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</si>
  <si>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</si>
  <si>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</si>
  <si>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</si>
  <si>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</si>
  <si>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</si>
  <si>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</si>
  <si>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</si>
  <si>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</si>
  <si>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</si>
  <si>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</si>
  <si>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</si>
  <si>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</si>
  <si>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</si>
  <si>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</si>
  <si>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</si>
  <si>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</si>
  <si>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</si>
  <si>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</si>
  <si>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</si>
  <si>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</si>
  <si>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</si>
  <si>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</si>
  <si>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</si>
  <si>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</si>
  <si>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</si>
  <si>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</si>
  <si>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</si>
  <si>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</si>
  <si>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</si>
  <si>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</si>
  <si>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</si>
  <si>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</si>
  <si>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</si>
  <si>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</si>
  <si>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</si>
  <si>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</si>
  <si>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</si>
  <si>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</si>
  <si>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</si>
  <si>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</si>
  <si>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</si>
  <si>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</si>
  <si>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</si>
  <si>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</si>
  <si>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</si>
  <si>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</si>
  <si>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</si>
  <si>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</si>
  <si>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</si>
  <si>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</si>
  <si>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</si>
  <si>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</si>
  <si>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</si>
  <si>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</si>
  <si>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</si>
  <si>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</si>
  <si>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</si>
  <si>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</si>
  <si>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</si>
  <si>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</si>
  <si>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</si>
  <si>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</si>
  <si>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</si>
  <si>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</si>
  <si>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</si>
  <si>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</si>
  <si>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</si>
  <si>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</si>
  <si>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</si>
  <si>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</si>
  <si>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</si>
  <si>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</si>
  <si>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</si>
  <si>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</si>
  <si>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</si>
  <si>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</si>
  <si>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</si>
  <si>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</si>
  <si>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</si>
  <si>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</si>
  <si>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</si>
  <si>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</si>
  <si>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</si>
  <si>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</si>
  <si>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</si>
  <si>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</si>
  <si>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</si>
  <si>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</si>
  <si>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</si>
  <si>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</si>
  <si>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</si>
  <si>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</si>
  <si>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</si>
  <si>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</si>
  <si>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</si>
  <si>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</si>
  <si>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</si>
  <si>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</si>
  <si>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</si>
  <si>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</si>
  <si>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</si>
  <si>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</si>
  <si>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</si>
  <si>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</si>
  <si>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</si>
  <si>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</si>
  <si>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</si>
  <si>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</si>
  <si>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</si>
  <si>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</si>
  <si>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</si>
  <si>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</si>
  <si>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</si>
  <si>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</si>
  <si>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</si>
  <si>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</si>
  <si>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</si>
  <si>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</si>
  <si>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</si>
  <si>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</si>
  <si>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</si>
  <si>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</si>
  <si>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</si>
  <si>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</si>
  <si>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</si>
  <si>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</si>
  <si>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</si>
  <si>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</si>
  <si>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</si>
  <si>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</si>
  <si>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</si>
  <si>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</si>
  <si>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</si>
  <si>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</si>
  <si>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</si>
  <si>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</si>
  <si>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</si>
  <si>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</si>
  <si>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</si>
  <si>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</si>
  <si>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</si>
  <si>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</si>
  <si>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</si>
  <si>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</si>
  <si>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</si>
  <si>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</si>
  <si>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</si>
  <si>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</si>
  <si>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</si>
  <si>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</si>
  <si>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</si>
  <si>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</si>
  <si>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</si>
  <si>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</si>
  <si>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</si>
  <si>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</si>
  <si>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</si>
  <si>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</si>
  <si>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</si>
  <si>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</si>
  <si>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</si>
  <si>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</si>
  <si>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</si>
  <si>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</si>
  <si>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</si>
  <si>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</si>
  <si>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</si>
  <si>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</si>
  <si>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</si>
  <si>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</si>
  <si>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</si>
  <si>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</si>
  <si>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</si>
  <si>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</si>
  <si>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</si>
  <si>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</si>
  <si>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</si>
  <si>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</si>
  <si>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</si>
  <si>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</si>
  <si>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</si>
  <si>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</si>
  <si>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</si>
  <si>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</si>
  <si>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</si>
  <si>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</si>
  <si>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</si>
  <si>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</si>
  <si>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</si>
  <si>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</si>
  <si>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</si>
  <si>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</si>
  <si>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</si>
  <si>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</si>
  <si>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</si>
  <si>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</si>
  <si>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</si>
  <si>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</si>
  <si>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</si>
  <si>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</si>
  <si>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</si>
  <si>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</si>
  <si>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</si>
  <si>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</si>
  <si>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</si>
  <si>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</si>
  <si>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</si>
  <si>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</si>
  <si>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</si>
  <si>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</si>
  <si>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</si>
  <si>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</si>
  <si>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</si>
  <si>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</si>
  <si>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</si>
  <si>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</si>
  <si>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</si>
  <si>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</si>
  <si>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</si>
  <si>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</si>
  <si>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</si>
  <si>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</si>
  <si>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</si>
  <si>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</si>
  <si>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</si>
  <si>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</si>
  <si>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</si>
  <si>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</si>
  <si>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</si>
  <si>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</si>
  <si>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</si>
  <si>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</si>
  <si>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</si>
  <si>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</si>
  <si>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</si>
  <si>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</si>
  <si>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</si>
  <si>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</si>
  <si>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</si>
  <si>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</si>
  <si>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</si>
  <si>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</si>
  <si>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</si>
  <si>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</si>
  <si>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</si>
  <si>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</si>
  <si>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</si>
  <si>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</si>
  <si>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</si>
  <si>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</si>
  <si>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</si>
  <si>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</si>
  <si>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</si>
  <si>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</si>
  <si>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</si>
  <si>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</si>
  <si>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</si>
  <si>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</si>
  <si>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</si>
  <si>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</si>
  <si>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</si>
  <si>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</si>
  <si>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</si>
  <si>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</si>
  <si>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</si>
  <si>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</si>
  <si>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</si>
  <si>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</si>
  <si>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</si>
  <si>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</si>
  <si>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</si>
  <si>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</si>
  <si>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</si>
  <si>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</si>
  <si>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</si>
  <si>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</si>
  <si>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</si>
  <si>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</si>
  <si>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</si>
  <si>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</si>
  <si>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</si>
  <si>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</si>
  <si>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</si>
  <si>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</si>
  <si>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</si>
  <si>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</si>
  <si>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</si>
  <si>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</si>
  <si>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</si>
  <si>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</si>
  <si>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</si>
  <si>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</si>
  <si>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</si>
  <si>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</si>
  <si>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</si>
  <si>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</si>
  <si>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</si>
  <si>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</si>
  <si>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</si>
  <si>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</si>
  <si>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</si>
  <si>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</si>
  <si>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</si>
  <si>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</si>
  <si>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</si>
  <si>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</si>
  <si>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</si>
  <si>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</si>
  <si>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</si>
  <si>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</si>
  <si>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</si>
  <si>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</si>
  <si>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</si>
  <si>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</si>
  <si>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</si>
  <si>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</si>
  <si>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</si>
  <si>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</si>
  <si>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</si>
  <si>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</si>
  <si>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</si>
  <si>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</si>
  <si>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</si>
  <si>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</si>
  <si>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</si>
  <si>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</si>
  <si>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</si>
  <si>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</si>
  <si>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</si>
  <si>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</si>
  <si>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</si>
  <si>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</si>
  <si>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</si>
  <si>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</si>
  <si>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</si>
  <si>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</si>
  <si>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</si>
  <si>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</si>
  <si>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</si>
  <si>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</si>
  <si>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</si>
  <si>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</si>
  <si>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</si>
  <si>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</si>
  <si>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</si>
  <si>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</si>
  <si>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</si>
  <si>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</si>
  <si>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</si>
  <si>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</si>
  <si>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</si>
  <si>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</si>
  <si>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</si>
  <si>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</si>
  <si>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</si>
  <si>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</si>
  <si>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</si>
  <si>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</si>
  <si>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</si>
  <si>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</si>
  <si>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</si>
  <si>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</si>
  <si>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</si>
  <si>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</si>
  <si>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</si>
  <si>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</si>
  <si>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</si>
  <si>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</si>
  <si>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</si>
  <si>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</si>
  <si>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</si>
  <si>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</si>
  <si>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</si>
  <si>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</si>
  <si>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</si>
  <si>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</si>
  <si>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</si>
  <si>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</si>
  <si>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</si>
  <si>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</si>
  <si>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</si>
  <si>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</si>
  <si>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</si>
  <si>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</si>
  <si>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</si>
  <si>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</si>
  <si>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</si>
  <si>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</si>
  <si>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</si>
  <si>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</si>
  <si>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</si>
  <si>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</si>
  <si>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</si>
  <si>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</si>
  <si>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</si>
  <si>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</si>
  <si>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</si>
  <si>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</si>
  <si>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</si>
  <si>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</si>
  <si>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</si>
  <si>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</si>
  <si>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</si>
  <si>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</si>
  <si>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</si>
  <si>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</si>
  <si>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</si>
  <si>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</si>
  <si>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</si>
  <si>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</si>
  <si>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</si>
  <si>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</si>
  <si>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</si>
  <si>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</si>
  <si>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</si>
  <si>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</si>
  <si>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</si>
  <si>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</si>
  <si>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</si>
  <si>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</si>
  <si>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</si>
  <si>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</si>
  <si>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</si>
  <si>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</si>
  <si>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</si>
  <si>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</si>
  <si>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</si>
  <si>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</si>
  <si>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</si>
  <si>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</si>
  <si>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</si>
  <si>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</si>
  <si>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</si>
  <si>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</si>
  <si>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</si>
  <si>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</si>
  <si>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</si>
  <si>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</si>
  <si>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</si>
  <si>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</si>
  <si>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</si>
  <si>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</si>
  <si>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</si>
  <si>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</si>
  <si>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</si>
  <si>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</si>
  <si>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</si>
  <si>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</si>
  <si>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</si>
  <si>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</si>
  <si>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</si>
  <si>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</si>
  <si>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</si>
  <si>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</si>
  <si>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</si>
  <si>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</si>
  <si>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</si>
  <si>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</si>
  <si>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</si>
  <si>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</si>
  <si>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</si>
  <si>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</si>
  <si>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</si>
  <si>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</si>
  <si>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</si>
  <si>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</si>
  <si>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</si>
  <si>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</si>
  <si>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</si>
  <si>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</si>
  <si>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</si>
  <si>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</si>
  <si>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</si>
  <si>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</si>
  <si>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</si>
  <si>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</si>
  <si>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</si>
  <si>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</si>
  <si>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</si>
  <si>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</si>
  <si>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</si>
  <si>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</si>
  <si>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</si>
  <si>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</si>
  <si>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</si>
  <si>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</si>
  <si>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</si>
  <si>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</si>
  <si>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</si>
  <si>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</si>
  <si>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</si>
  <si>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</si>
  <si>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</si>
  <si>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</si>
  <si>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</si>
  <si>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</si>
  <si>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</si>
  <si>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</si>
  <si>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</si>
  <si>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</si>
  <si>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</si>
  <si>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</si>
  <si>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</si>
  <si>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</si>
  <si>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</si>
  <si>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</si>
  <si>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</si>
  <si>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</si>
  <si>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</si>
  <si>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</si>
  <si>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</si>
  <si>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</si>
  <si>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</si>
  <si>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</si>
  <si>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</si>
  <si>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</si>
  <si>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</si>
  <si>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</si>
  <si>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</si>
  <si>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</si>
  <si>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</si>
  <si>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</si>
  <si>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</si>
  <si>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</si>
  <si>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</si>
  <si>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</si>
  <si>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</si>
  <si>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</si>
  <si>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</si>
  <si>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</si>
  <si>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</si>
  <si>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</si>
  <si>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</si>
  <si>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</si>
  <si>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</si>
  <si>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</si>
  <si>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</si>
  <si>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</si>
  <si>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</si>
  <si>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</si>
  <si>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</si>
  <si>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</si>
  <si>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</si>
  <si>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</si>
  <si>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</si>
  <si>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</si>
  <si>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</si>
  <si>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</si>
  <si>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</si>
  <si>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</si>
  <si>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</si>
  <si>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</si>
  <si>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</si>
  <si>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</si>
  <si>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</si>
  <si>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</si>
  <si>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</si>
  <si>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</si>
  <si>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</si>
  <si>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</si>
  <si>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</si>
  <si>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</si>
  <si>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</si>
  <si>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</si>
  <si>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</si>
  <si>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</si>
  <si>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</si>
  <si>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</si>
  <si>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</si>
  <si>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</si>
  <si>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</si>
  <si>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</si>
  <si>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</si>
  <si>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</si>
  <si>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</si>
  <si>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</si>
  <si>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</si>
  <si>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</si>
  <si>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</si>
  <si>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</si>
  <si>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</si>
  <si>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</si>
  <si>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</si>
  <si>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</si>
  <si>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</si>
  <si>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</si>
  <si>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</si>
  <si>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</si>
  <si>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</si>
  <si>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</si>
  <si>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</si>
  <si>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</si>
  <si>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</si>
  <si>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</si>
  <si>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</si>
  <si>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</si>
  <si>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</si>
  <si>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</si>
  <si>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</si>
  <si>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</si>
  <si>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</si>
  <si>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</si>
  <si>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</si>
  <si>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</si>
  <si>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</si>
  <si>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</si>
  <si>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</si>
  <si>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</si>
  <si>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</si>
  <si>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</si>
  <si>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</si>
  <si>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</si>
  <si>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</si>
  <si>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</si>
  <si>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</si>
  <si>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</si>
  <si>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</si>
  <si>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</si>
  <si>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</si>
  <si>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</si>
  <si>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</si>
  <si>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</si>
  <si>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</si>
  <si>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</si>
  <si>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</si>
  <si>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</si>
  <si>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</si>
  <si>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</si>
  <si>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</si>
  <si>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</si>
  <si>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</si>
  <si>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</si>
  <si>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</si>
  <si>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</si>
  <si>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</si>
  <si>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</si>
  <si>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</si>
  <si>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</si>
  <si>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</si>
  <si>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</si>
  <si>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</si>
  <si>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</si>
  <si>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</si>
  <si>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</si>
  <si>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</si>
  <si>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</si>
  <si>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</si>
  <si>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</si>
  <si>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</si>
  <si>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</si>
  <si>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</si>
  <si>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</si>
  <si>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</si>
  <si>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</si>
  <si>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</si>
  <si>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</si>
  <si>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</si>
  <si>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</si>
  <si>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</si>
  <si>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</si>
  <si>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</si>
  <si>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</si>
  <si>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</si>
  <si>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</si>
  <si>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</si>
  <si>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</si>
  <si>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</si>
  <si>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</si>
  <si>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</si>
  <si>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</si>
  <si>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</si>
  <si>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</si>
  <si>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</si>
  <si>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</si>
  <si>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</si>
  <si>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</si>
  <si>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</si>
  <si>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</si>
  <si>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</si>
  <si>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</si>
  <si>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</si>
  <si>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</si>
  <si>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</si>
  <si>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</si>
  <si>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</si>
  <si>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</si>
  <si>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</si>
  <si>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</si>
  <si>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</si>
  <si>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</si>
  <si>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</si>
  <si>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</si>
  <si>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</si>
  <si>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</si>
  <si>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</si>
  <si>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</si>
  <si>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</si>
  <si>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</si>
  <si>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</si>
  <si>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</si>
  <si>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</si>
  <si>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</si>
  <si>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</si>
  <si>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</si>
  <si>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</si>
  <si>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</si>
  <si>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</si>
  <si>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</si>
  <si>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</si>
  <si>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</si>
  <si>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</si>
  <si>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</si>
  <si>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</si>
  <si>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</si>
  <si>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</si>
  <si>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</si>
  <si>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</si>
  <si>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</si>
  <si>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</si>
  <si>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</si>
  <si>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</si>
  <si>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</si>
  <si>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</si>
  <si>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</si>
  <si>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</si>
  <si>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</si>
  <si>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</si>
  <si>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</si>
  <si>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</si>
  <si>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</si>
  <si>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</si>
  <si>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</si>
  <si>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</si>
  <si>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</si>
  <si>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</si>
  <si>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</si>
  <si>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</si>
  <si>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</si>
  <si>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</si>
  <si>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</si>
  <si>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</si>
  <si>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</si>
  <si>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</si>
  <si>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</si>
  <si>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</si>
  <si>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</si>
  <si>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</si>
  <si>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</si>
  <si>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</si>
  <si>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</si>
  <si>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</si>
  <si>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</si>
  <si>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</si>
  <si>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</si>
  <si>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</si>
  <si>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</si>
  <si>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</si>
  <si>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</si>
  <si>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</si>
  <si>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</si>
  <si>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</si>
  <si>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</si>
  <si>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</si>
  <si>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</si>
  <si>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</si>
  <si>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</si>
  <si>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</si>
  <si>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</si>
  <si>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</si>
  <si>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</si>
  <si>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</si>
  <si>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</si>
  <si>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</si>
  <si>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</si>
  <si>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</si>
  <si>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</si>
  <si>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</si>
  <si>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</si>
  <si>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</si>
  <si>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</si>
  <si>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</si>
  <si>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</si>
  <si>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</si>
  <si>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</si>
  <si>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</si>
  <si>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</si>
  <si>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</si>
  <si>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</si>
  <si>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</si>
  <si>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</si>
  <si>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</si>
  <si>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</si>
  <si>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</si>
  <si>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</si>
  <si>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</si>
  <si>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</si>
  <si>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</si>
  <si>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</si>
  <si>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</si>
  <si>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</si>
  <si>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</si>
  <si>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</si>
  <si>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</si>
  <si>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</si>
  <si>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</si>
  <si>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</si>
  <si>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</si>
  <si>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</si>
  <si>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</si>
  <si>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</si>
  <si>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</si>
  <si>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</si>
  <si>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</si>
  <si>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</si>
  <si>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</si>
  <si>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</si>
  <si>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</si>
  <si>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</si>
  <si>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</si>
  <si>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</si>
  <si>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</si>
  <si>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</si>
  <si>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</si>
  <si>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</si>
  <si>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</si>
  <si>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</si>
  <si>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</si>
  <si>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</si>
  <si>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</si>
  <si>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</si>
  <si>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</si>
  <si>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</si>
  <si>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</si>
  <si>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</si>
  <si>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</si>
  <si>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</si>
  <si>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</si>
  <si>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</si>
  <si>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</si>
  <si>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</si>
  <si>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</si>
  <si>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</si>
  <si>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</si>
  <si>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</si>
  <si>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</si>
  <si>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</si>
  <si>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</si>
  <si>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</si>
  <si>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</si>
  <si>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</si>
  <si>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</si>
  <si>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</si>
  <si>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</si>
  <si>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</si>
  <si>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</si>
  <si>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</si>
  <si>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</si>
  <si>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</si>
  <si>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</si>
  <si>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</si>
  <si>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</si>
  <si>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</si>
  <si>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</si>
  <si>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</si>
  <si>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</si>
  <si>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</si>
  <si>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</si>
  <si>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</si>
  <si>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</si>
  <si>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</si>
  <si>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</si>
  <si>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</si>
  <si>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</si>
  <si>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</si>
  <si>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</si>
  <si>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</si>
  <si>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</si>
  <si>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</si>
  <si>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</si>
  <si>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</si>
  <si>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</si>
  <si>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</si>
  <si>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</si>
  <si>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</si>
  <si>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</si>
  <si>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</si>
  <si>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</si>
  <si>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</si>
  <si>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</si>
  <si>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</si>
  <si>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</si>
  <si>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</si>
  <si>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</si>
  <si>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</si>
  <si>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</si>
  <si>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</si>
  <si>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</si>
  <si>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</si>
  <si>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</si>
  <si>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</si>
  <si>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</si>
  <si>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</si>
  <si>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</si>
  <si>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</si>
  <si>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</si>
  <si>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</si>
  <si>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</si>
  <si>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</si>
  <si>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</si>
  <si>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</si>
  <si>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</si>
  <si>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</si>
  <si>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</si>
  <si>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</si>
  <si>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</si>
  <si>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</si>
  <si>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</si>
  <si>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</si>
  <si>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</si>
  <si>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</si>
  <si>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</si>
  <si>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</si>
  <si>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</si>
  <si>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</si>
  <si>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</si>
  <si>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</si>
  <si>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</si>
  <si>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</si>
  <si>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</si>
  <si>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</si>
  <si>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</si>
  <si>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</si>
  <si>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</si>
  <si>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</si>
  <si>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</si>
  <si>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</si>
  <si>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</si>
  <si>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</si>
  <si>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</si>
  <si>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</si>
  <si>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</si>
  <si>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</si>
  <si>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</si>
  <si>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</si>
  <si>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</si>
  <si>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</si>
  <si>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</si>
  <si>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</si>
  <si>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</si>
  <si>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</si>
  <si>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</si>
  <si>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</si>
  <si>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</si>
  <si>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</si>
  <si>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</si>
  <si>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</si>
  <si>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</si>
  <si>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</si>
  <si>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</si>
  <si>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</si>
  <si>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</si>
  <si>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</si>
  <si>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</si>
  <si>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</si>
  <si>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</si>
  <si>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</si>
  <si>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</si>
  <si>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</si>
  <si>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</si>
  <si>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</si>
  <si>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</si>
  <si>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</si>
  <si>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</si>
  <si>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</si>
  <si>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</si>
  <si>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</si>
  <si>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</si>
  <si>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</si>
  <si>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</si>
  <si>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</si>
  <si>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</si>
  <si>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</si>
  <si>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</si>
  <si>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</si>
  <si>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</si>
  <si>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</si>
  <si>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</si>
  <si>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</si>
  <si>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</si>
  <si>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</si>
  <si>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</si>
  <si>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</si>
  <si>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</si>
  <si>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</si>
  <si>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</si>
  <si>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</si>
  <si>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</si>
  <si>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</si>
  <si>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</si>
  <si>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</si>
  <si>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</si>
  <si>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</si>
  <si>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</si>
  <si>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</si>
  <si>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</si>
  <si>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</si>
  <si>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</si>
  <si>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</si>
  <si>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</si>
  <si>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</si>
  <si>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</si>
  <si>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</si>
  <si>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</si>
  <si>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</si>
  <si>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</si>
  <si>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</si>
  <si>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</si>
  <si>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</si>
  <si>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</si>
  <si>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</si>
  <si>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</si>
  <si>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</si>
  <si>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</si>
  <si>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</si>
  <si>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</si>
  <si>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</si>
  <si>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</si>
  <si>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</si>
  <si>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</si>
  <si>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</si>
  <si>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</si>
  <si>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</si>
  <si>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</si>
  <si>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</si>
  <si>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</si>
  <si>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</si>
  <si>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</si>
  <si>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</si>
  <si>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</si>
  <si>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</si>
  <si>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</si>
  <si>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</si>
  <si>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</si>
  <si>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</si>
  <si>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</si>
  <si>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</si>
  <si>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</si>
  <si>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</si>
  <si>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</si>
  <si>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</si>
  <si>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</si>
  <si>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</si>
  <si>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</si>
  <si>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</si>
  <si>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</si>
  <si>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</si>
  <si>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</si>
  <si>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</si>
  <si>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</si>
  <si>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</si>
  <si>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</si>
  <si>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</si>
  <si>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</si>
  <si>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</si>
  <si>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</si>
  <si>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</si>
  <si>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</si>
  <si>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</si>
  <si>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</si>
  <si>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</si>
  <si>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</si>
  <si>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</si>
  <si>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</si>
  <si>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</si>
  <si>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</si>
  <si>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</si>
  <si>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</si>
  <si>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</si>
  <si>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</si>
  <si>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</si>
  <si>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</si>
  <si>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</si>
  <si>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</si>
  <si>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</si>
  <si>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</si>
  <si>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</si>
  <si>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</si>
  <si>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</si>
  <si>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</si>
  <si>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</si>
  <si>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</si>
  <si>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</si>
  <si>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</si>
  <si>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</si>
  <si>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</si>
  <si>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</si>
  <si>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</si>
  <si>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</si>
  <si>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</si>
  <si>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</si>
  <si>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</si>
  <si>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</si>
  <si>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</si>
  <si>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</si>
  <si>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</si>
  <si>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</si>
  <si>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</si>
  <si>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</si>
  <si>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</si>
  <si>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</si>
  <si>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</si>
  <si>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</si>
  <si>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</si>
  <si>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</si>
  <si>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</si>
  <si>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</si>
  <si>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</si>
  <si>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</si>
  <si>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</si>
  <si>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</si>
  <si>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</si>
  <si>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</si>
  <si>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</si>
  <si>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</si>
  <si>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</si>
  <si>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</si>
  <si>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</si>
  <si>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</si>
  <si>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</si>
  <si>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</si>
  <si>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</si>
  <si>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</si>
  <si>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</si>
  <si>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</si>
  <si>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</si>
  <si>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</si>
  <si>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</si>
  <si>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</si>
  <si>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</si>
  <si>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</si>
  <si>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</si>
  <si>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</si>
  <si>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</si>
  <si>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</si>
  <si>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</si>
  <si>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</si>
  <si>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</si>
  <si>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</si>
  <si>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</si>
  <si>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</si>
  <si>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</si>
  <si>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</si>
  <si>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</si>
  <si>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</si>
  <si>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</si>
  <si>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</si>
  <si>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</si>
  <si>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</si>
  <si>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</si>
  <si>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</si>
  <si>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</si>
  <si>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</si>
  <si>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</si>
  <si>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</si>
  <si>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</si>
  <si>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</si>
  <si>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</si>
  <si>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</si>
  <si>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</si>
  <si>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</si>
  <si>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</si>
  <si>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</si>
  <si>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</si>
  <si>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</si>
  <si>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</si>
  <si>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</si>
  <si>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</si>
  <si>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</si>
  <si>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</si>
  <si>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</si>
  <si>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</si>
  <si>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</si>
  <si>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</si>
  <si>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</si>
  <si>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</si>
  <si>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</si>
  <si>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</si>
  <si>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</si>
  <si>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</si>
  <si>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</si>
  <si>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</si>
  <si>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</si>
  <si>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</si>
  <si>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</si>
  <si>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</si>
  <si>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</si>
  <si>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</si>
  <si>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</si>
  <si>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</si>
  <si>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</si>
  <si>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</si>
  <si>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</si>
  <si>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</si>
  <si>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</si>
  <si>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</si>
  <si>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</si>
  <si>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</si>
  <si>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</si>
  <si>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</si>
  <si>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</si>
  <si>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</si>
  <si>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</si>
  <si>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</si>
  <si>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</si>
  <si>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</si>
  <si>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</si>
  <si>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</si>
  <si>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</si>
  <si>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</si>
  <si>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</si>
  <si>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</si>
  <si>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</si>
  <si>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</si>
  <si>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</si>
  <si>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</si>
  <si>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</si>
  <si>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</si>
  <si>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</si>
  <si>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</si>
  <si>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</si>
  <si>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</si>
  <si>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</si>
  <si>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</si>
  <si>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</si>
  <si>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</si>
  <si>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</si>
  <si>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</si>
  <si>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</si>
  <si>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</si>
  <si>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</si>
  <si>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</si>
  <si>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</si>
  <si>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</si>
  <si>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</si>
  <si>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</si>
  <si>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</si>
  <si>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</si>
  <si>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</si>
  <si>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</si>
  <si>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</si>
  <si>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</si>
  <si>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</si>
  <si>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</si>
  <si>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</si>
  <si>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</si>
  <si>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</si>
  <si>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</si>
  <si>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</si>
  <si>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</si>
  <si>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</si>
  <si>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</si>
  <si>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</si>
  <si>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</si>
  <si>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</si>
  <si>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</si>
  <si>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</si>
  <si>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</si>
  <si>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</si>
  <si>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</si>
  <si>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</si>
  <si>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</si>
  <si>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</si>
  <si>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</si>
  <si>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</si>
  <si>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</si>
  <si>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</si>
  <si>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</si>
  <si>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</si>
  <si>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</si>
  <si>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</si>
  <si>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</si>
  <si>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</si>
  <si>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</si>
  <si>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</si>
  <si>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</si>
  <si>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</si>
  <si>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</si>
  <si>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</si>
  <si>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</si>
  <si>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</si>
  <si>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</si>
  <si>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</si>
  <si>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</si>
  <si>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</si>
  <si>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</si>
  <si>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</si>
  <si>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</si>
  <si>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</si>
  <si>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</si>
  <si>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</si>
  <si>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</si>
  <si>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</si>
  <si>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</si>
  <si>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</si>
  <si>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</si>
  <si>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</si>
  <si>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</si>
  <si>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</si>
  <si>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</si>
  <si>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</si>
  <si>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</si>
  <si>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</si>
  <si>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</si>
  <si>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</si>
  <si>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</si>
  <si>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</si>
  <si>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</si>
  <si>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</si>
  <si>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</si>
  <si>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</si>
  <si>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</si>
  <si>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</si>
  <si>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</si>
  <si>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</si>
  <si>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</si>
  <si>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</si>
  <si>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</si>
  <si>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</si>
  <si>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</si>
  <si>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</si>
  <si>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</si>
  <si>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</si>
  <si>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</si>
  <si>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</si>
  <si>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</si>
  <si>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</si>
  <si>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</si>
  <si>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</si>
  <si>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</si>
  <si>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</si>
  <si>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</si>
  <si>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</si>
  <si>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</si>
  <si>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</si>
  <si>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</si>
  <si>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</si>
  <si>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</si>
  <si>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</si>
  <si>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</si>
  <si>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</si>
  <si>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</si>
  <si>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</si>
  <si>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</si>
  <si>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</si>
  <si>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</si>
  <si>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</si>
  <si>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</si>
  <si>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</si>
  <si>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</si>
  <si>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</si>
  <si>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</si>
  <si>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</si>
  <si>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</si>
  <si>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</si>
  <si>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</si>
  <si>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</si>
  <si>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</si>
  <si>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</si>
  <si>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</si>
  <si>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</si>
  <si>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</si>
  <si>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</si>
  <si>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</si>
  <si>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</si>
  <si>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</si>
  <si>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</si>
  <si>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</si>
  <si>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</si>
  <si>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</si>
  <si>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</si>
  <si>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</si>
  <si>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</si>
  <si>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</si>
  <si>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</si>
  <si>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</si>
  <si>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</si>
  <si>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</si>
  <si>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</si>
  <si>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</si>
  <si>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</si>
  <si>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</si>
  <si>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</si>
  <si>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</si>
  <si>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</si>
  <si>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</si>
  <si>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</si>
  <si>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</si>
  <si>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</si>
  <si>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</si>
  <si>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</si>
  <si>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</si>
  <si>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</si>
  <si>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</si>
  <si>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</si>
  <si>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</si>
  <si>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</si>
  <si>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</si>
  <si>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</si>
  <si>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</si>
  <si>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</si>
  <si>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</si>
  <si>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</si>
  <si>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</si>
  <si>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</si>
  <si>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</si>
  <si>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</si>
  <si>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</si>
  <si>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</si>
  <si>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</si>
  <si>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</si>
  <si>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</si>
  <si>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</si>
  <si>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</si>
  <si>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</si>
  <si>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</si>
  <si>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</si>
  <si>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</si>
  <si>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</si>
  <si>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</si>
  <si>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</si>
  <si>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</si>
  <si>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</si>
  <si>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</si>
  <si>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</si>
  <si>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</si>
  <si>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</si>
  <si>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</si>
  <si>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</si>
  <si>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</si>
  <si>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</si>
  <si>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</si>
  <si>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</si>
  <si>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</si>
  <si>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</si>
  <si>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</si>
  <si>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</si>
  <si>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</si>
  <si>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</si>
  <si>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</si>
  <si>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</si>
  <si>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</si>
  <si>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</si>
  <si>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</si>
  <si>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</si>
  <si>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</si>
  <si>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</si>
  <si>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</si>
  <si>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</si>
  <si>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</si>
  <si>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</si>
  <si>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</si>
  <si>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</si>
  <si>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</si>
  <si>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</si>
  <si>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</si>
  <si>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</si>
  <si>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</si>
  <si>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</si>
  <si>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</si>
  <si>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</si>
  <si>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</si>
  <si>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</si>
  <si>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</si>
  <si>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</si>
  <si>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</si>
  <si>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</si>
  <si>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</si>
  <si>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</si>
  <si>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</si>
  <si>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</si>
  <si>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</si>
  <si>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</si>
  <si>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</si>
  <si>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</si>
  <si>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</si>
  <si>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</si>
  <si>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</si>
  <si>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</si>
  <si>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</si>
  <si>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</si>
  <si>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</si>
  <si>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</si>
  <si>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</si>
  <si>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</si>
  <si>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</si>
  <si>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</si>
  <si>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</si>
  <si>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</si>
  <si>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</si>
  <si>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</si>
  <si>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</si>
  <si>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</si>
  <si>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</si>
  <si>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</si>
  <si>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</si>
  <si>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</si>
  <si>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</si>
  <si>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</si>
  <si>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</si>
  <si>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</si>
  <si>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</si>
  <si>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</si>
  <si>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</si>
  <si>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</si>
  <si>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</si>
  <si>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</si>
  <si>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</si>
  <si>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</si>
  <si>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</si>
  <si>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</si>
  <si>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</si>
  <si>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</si>
  <si>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</si>
  <si>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</si>
  <si>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</si>
  <si>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</si>
  <si>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</si>
  <si>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</si>
  <si>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</si>
  <si>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</si>
  <si>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</si>
  <si>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</si>
  <si>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</si>
  <si>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</si>
  <si>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</si>
  <si>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</si>
  <si>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</si>
  <si>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</si>
  <si>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</si>
  <si>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</si>
  <si>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</si>
  <si>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</si>
  <si>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</si>
  <si>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</si>
  <si>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</si>
  <si>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</si>
  <si>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</si>
  <si>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</si>
  <si>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</si>
  <si>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</si>
  <si>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</si>
  <si>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</si>
  <si>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</si>
  <si>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</si>
  <si>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</si>
  <si>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</si>
  <si>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</si>
  <si>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</si>
  <si>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</si>
  <si>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</si>
  <si>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</si>
  <si>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</si>
  <si>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</si>
  <si>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</si>
  <si>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</si>
  <si>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</si>
  <si>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</si>
  <si>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</si>
  <si>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</si>
  <si>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</si>
  <si>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</si>
  <si>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</si>
  <si>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</si>
  <si>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</si>
  <si>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</si>
  <si>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</si>
  <si>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</si>
  <si>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</si>
  <si>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</si>
  <si>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</si>
  <si>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</si>
  <si>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</si>
  <si>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</si>
  <si>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</si>
  <si>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</si>
  <si>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</si>
  <si>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</si>
  <si>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</si>
  <si>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</si>
  <si>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</si>
  <si>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</si>
  <si>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</si>
  <si>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</si>
  <si>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</si>
  <si>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</si>
  <si>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</si>
  <si>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</si>
  <si>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</si>
  <si>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</si>
  <si>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</si>
  <si>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</si>
  <si>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</si>
  <si>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</si>
  <si>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</si>
  <si>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</si>
  <si>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</si>
  <si>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</si>
  <si>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</si>
  <si>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</si>
  <si>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</si>
  <si>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</si>
  <si>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</si>
  <si>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</si>
  <si>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</si>
  <si>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</si>
  <si>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</si>
  <si>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</si>
  <si>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</si>
  <si>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</si>
  <si>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</si>
  <si>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</si>
  <si>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</si>
  <si>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</si>
  <si>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</si>
  <si>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</si>
  <si>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</si>
  <si>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</si>
  <si>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</si>
  <si>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</si>
  <si>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</si>
  <si>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</si>
  <si>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</si>
  <si>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</si>
  <si>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</si>
  <si>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</si>
  <si>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</si>
  <si>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</si>
  <si>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</si>
  <si>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</si>
  <si>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</si>
  <si>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</si>
  <si>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</si>
  <si>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</si>
  <si>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</si>
  <si>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</si>
  <si>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</si>
  <si>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</si>
  <si>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</si>
  <si>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</si>
  <si>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</si>
  <si>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</si>
  <si>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</si>
  <si>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</si>
  <si>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</si>
  <si>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</si>
  <si>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</si>
  <si>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</si>
  <si>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</si>
  <si>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</si>
  <si>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</si>
  <si>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</si>
  <si>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</si>
  <si>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</si>
  <si>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</si>
  <si>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</si>
  <si>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</si>
  <si>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</si>
  <si>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</si>
  <si>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</si>
  <si>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</si>
  <si>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</si>
  <si>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</si>
  <si>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</si>
  <si>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</si>
  <si>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</si>
  <si>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</si>
  <si>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</si>
  <si>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</si>
  <si>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</si>
  <si>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</si>
  <si>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</si>
  <si>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</si>
  <si>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</si>
  <si>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</si>
  <si>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</si>
  <si>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</si>
  <si>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</si>
  <si>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</si>
  <si>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</si>
  <si>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</si>
  <si>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</si>
  <si>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</si>
  <si>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</si>
  <si>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</si>
  <si>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</si>
  <si>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</si>
  <si>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</si>
  <si>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</si>
  <si>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</si>
  <si>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</si>
  <si>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</si>
  <si>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</si>
  <si>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</si>
  <si>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</si>
  <si>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</si>
  <si>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</si>
  <si>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</si>
  <si>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</si>
  <si>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</si>
  <si>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</si>
  <si>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</si>
  <si>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</si>
  <si>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</si>
  <si>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</si>
  <si>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</si>
  <si>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</si>
  <si>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</si>
  <si>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</si>
  <si>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</si>
  <si>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</si>
  <si>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</si>
  <si>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</si>
  <si>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</si>
  <si>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</si>
  <si>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</si>
  <si>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</si>
  <si>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</si>
  <si>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</si>
  <si>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</si>
  <si>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</si>
  <si>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</si>
  <si>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</si>
  <si>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</si>
  <si>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</si>
  <si>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</si>
  <si>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</si>
  <si>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</si>
  <si>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</si>
  <si>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</si>
  <si>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</si>
  <si>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</si>
  <si>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</si>
  <si>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</si>
  <si>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</si>
  <si>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</si>
  <si>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</si>
  <si>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</si>
  <si>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</si>
  <si>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</si>
  <si>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</si>
  <si>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</si>
  <si>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</si>
  <si>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</si>
  <si>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</si>
  <si>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</si>
  <si>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</si>
  <si>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</si>
  <si>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</si>
  <si>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</si>
  <si>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</si>
  <si>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</si>
  <si>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</si>
  <si>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</si>
  <si>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</si>
  <si>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</si>
  <si>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</si>
  <si>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</si>
  <si>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</si>
  <si>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</si>
  <si>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</si>
  <si>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</si>
  <si>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</si>
  <si>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</si>
  <si>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</si>
  <si>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</si>
  <si>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</si>
  <si>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</si>
  <si>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</si>
  <si>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</si>
  <si>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</si>
  <si>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</si>
  <si>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</si>
  <si>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</si>
  <si>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</si>
  <si>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</si>
  <si>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</si>
  <si>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</si>
  <si>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</si>
  <si>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</si>
  <si>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</si>
  <si>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</si>
  <si>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</si>
  <si>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</si>
  <si>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</si>
  <si>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</si>
  <si>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</si>
  <si>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</si>
  <si>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</si>
  <si>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</si>
  <si>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</si>
  <si>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</si>
  <si>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</si>
  <si>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</si>
  <si>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</si>
  <si>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</si>
  <si>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</si>
  <si>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</si>
  <si>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</si>
  <si>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</si>
  <si>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</si>
  <si>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</si>
  <si>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</si>
  <si>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</si>
  <si>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</si>
  <si>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</si>
  <si>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</si>
  <si>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</si>
  <si>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</si>
  <si>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</si>
  <si>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</si>
  <si>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</si>
  <si>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</si>
  <si>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</si>
  <si>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</si>
  <si>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</si>
  <si>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</si>
  <si>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</si>
  <si>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</si>
  <si>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</si>
  <si>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</si>
  <si>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</si>
  <si>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</si>
  <si>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</si>
  <si>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</si>
  <si>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</si>
  <si>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</si>
  <si>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</si>
  <si>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</si>
  <si>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</si>
  <si>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</si>
  <si>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</si>
  <si>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</si>
  <si>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</si>
  <si>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</si>
  <si>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</si>
  <si>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</si>
  <si>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</si>
  <si>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</si>
  <si>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</si>
  <si>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</si>
  <si>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</si>
  <si>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</si>
  <si>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</si>
  <si>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</si>
  <si>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</si>
  <si>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</si>
  <si>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</si>
  <si>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</si>
  <si>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</si>
  <si>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</si>
  <si>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</si>
  <si>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</si>
  <si>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</si>
  <si>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</si>
  <si>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</si>
  <si>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</si>
  <si>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</si>
  <si>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</si>
  <si>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</si>
  <si>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</si>
  <si>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</si>
  <si>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</si>
  <si>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</si>
  <si>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</si>
  <si>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</si>
  <si>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</si>
  <si>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</si>
  <si>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</si>
  <si>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</si>
  <si>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</si>
  <si>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</si>
  <si>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</si>
  <si>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</si>
  <si>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</si>
  <si>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</si>
  <si>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</si>
  <si>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</si>
  <si>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</si>
  <si>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</si>
  <si>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</si>
  <si>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</si>
  <si>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</si>
  <si>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</si>
  <si>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</si>
  <si>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</si>
  <si>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</si>
  <si>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</si>
  <si>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</si>
  <si>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</si>
  <si>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</si>
  <si>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</si>
  <si>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</si>
  <si>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</si>
  <si>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</si>
  <si>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</si>
  <si>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</si>
  <si>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</si>
  <si>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</si>
  <si>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</si>
  <si>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</si>
  <si>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</si>
  <si>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</si>
  <si>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</si>
  <si>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</si>
  <si>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</si>
  <si>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</si>
  <si>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</si>
  <si>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</si>
  <si>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</si>
  <si>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</si>
  <si>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</si>
  <si>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</si>
  <si>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</si>
  <si>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</si>
  <si>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</si>
  <si>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</si>
  <si>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</si>
  <si>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</si>
  <si>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</si>
  <si>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</si>
  <si>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</si>
  <si>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</si>
  <si>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</si>
  <si>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</si>
  <si>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</si>
  <si>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</si>
  <si>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</si>
  <si>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</si>
  <si>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</si>
  <si>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</si>
  <si>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</si>
  <si>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</si>
  <si>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</si>
  <si>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</si>
  <si>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</si>
  <si>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</si>
  <si>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</si>
  <si>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</si>
  <si>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</si>
  <si>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</si>
  <si>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</si>
  <si>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</si>
  <si>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</si>
  <si>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</si>
  <si>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</si>
  <si>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</si>
  <si>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</si>
  <si>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</si>
  <si>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</si>
  <si>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</si>
  <si>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</si>
  <si>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</si>
  <si>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</si>
  <si>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</si>
  <si>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</si>
  <si>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</si>
  <si>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</si>
  <si>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</si>
  <si>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</si>
  <si>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</si>
  <si>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</si>
  <si>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</si>
  <si>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</si>
  <si>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</si>
  <si>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</si>
  <si>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</si>
  <si>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</si>
  <si>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</si>
  <si>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</si>
  <si>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</si>
  <si>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</si>
  <si>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</si>
  <si>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</si>
  <si>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</si>
  <si>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</si>
  <si>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</si>
  <si>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</si>
  <si>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</si>
  <si>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</si>
  <si>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</si>
  <si>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</si>
  <si>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</si>
  <si>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</si>
  <si>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</si>
  <si>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</si>
  <si>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</si>
  <si>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</si>
  <si>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</si>
  <si>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</si>
  <si>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</si>
  <si>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</si>
  <si>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</si>
  <si>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</si>
  <si>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</si>
  <si>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</si>
  <si>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</si>
  <si>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</si>
  <si>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</si>
  <si>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</si>
  <si>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</si>
  <si>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</si>
  <si>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</si>
  <si>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</si>
  <si>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</si>
  <si>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</si>
  <si>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</si>
  <si>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</si>
  <si>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</si>
  <si>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</si>
  <si>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</si>
  <si>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</si>
  <si>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</si>
  <si>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</si>
  <si>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</si>
  <si>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</si>
  <si>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</si>
  <si>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</si>
  <si>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</si>
  <si>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</si>
  <si>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</si>
  <si>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</si>
  <si>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</si>
  <si>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</si>
  <si>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</si>
  <si>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</si>
  <si>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</si>
  <si>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</si>
  <si>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</si>
  <si>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</si>
  <si>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</si>
  <si>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</si>
  <si>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</si>
  <si>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</si>
  <si>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</si>
  <si>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</si>
  <si>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</si>
  <si>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</si>
  <si>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</si>
  <si>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</si>
  <si>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</si>
  <si>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</si>
  <si>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</si>
  <si>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</si>
  <si>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</si>
  <si>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</si>
  <si>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</si>
  <si>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</si>
  <si>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</si>
  <si>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</si>
  <si>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</si>
  <si>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</si>
  <si>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</si>
  <si>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</si>
  <si>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</si>
  <si>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</si>
  <si>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</si>
  <si>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</si>
  <si>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</si>
  <si>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</si>
  <si>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</si>
  <si>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</si>
  <si>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</si>
  <si>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</si>
  <si>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</si>
  <si>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</si>
  <si>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</si>
  <si>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</si>
  <si>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</si>
  <si>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</si>
  <si>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</si>
  <si>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</si>
  <si>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</si>
  <si>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</si>
  <si>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</si>
  <si>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</si>
  <si>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</si>
  <si>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</si>
  <si>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</si>
  <si>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</si>
  <si>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</si>
  <si>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</si>
  <si>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</si>
  <si>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</si>
  <si>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</si>
  <si>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</si>
  <si>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</si>
  <si>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</si>
  <si>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</si>
  <si>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</si>
  <si>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</si>
  <si>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</si>
  <si>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</si>
  <si>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</si>
  <si>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</si>
  <si>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</si>
  <si>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</si>
  <si>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</si>
  <si>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</si>
  <si>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</si>
  <si>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</si>
  <si>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</si>
  <si>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</si>
  <si>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</si>
  <si>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</si>
  <si>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</si>
  <si>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</si>
  <si>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</si>
  <si>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</si>
  <si>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</si>
  <si>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</si>
  <si>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</si>
  <si>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</si>
  <si>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</si>
  <si>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</si>
  <si>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</si>
  <si>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</si>
  <si>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</si>
  <si>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</si>
  <si>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</si>
  <si>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</si>
  <si>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</si>
  <si>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</si>
  <si>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</si>
  <si>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</si>
  <si>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</si>
  <si>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</si>
  <si>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</si>
  <si>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</si>
  <si>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</si>
  <si>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</si>
  <si>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</si>
  <si>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</si>
  <si>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</si>
  <si>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</si>
  <si>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</si>
  <si>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</si>
  <si>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</si>
  <si>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</si>
  <si>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</si>
  <si>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</si>
  <si>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</si>
  <si>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</si>
  <si>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</si>
  <si>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</si>
  <si>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</si>
  <si>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</si>
  <si>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</si>
  <si>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</si>
  <si>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</si>
  <si>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</si>
  <si>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</si>
  <si>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</si>
  <si>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</si>
  <si>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</si>
  <si>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</si>
  <si>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</si>
  <si>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</si>
  <si>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</si>
  <si>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</si>
  <si>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</si>
  <si>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</si>
  <si>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</si>
  <si>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</si>
  <si>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</si>
  <si>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</si>
  <si>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</si>
  <si>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</si>
  <si>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</si>
  <si>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</si>
  <si>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</si>
  <si>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</si>
  <si>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</si>
  <si>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</si>
  <si>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</si>
  <si>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</si>
  <si>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</si>
  <si>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</si>
  <si>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</si>
  <si>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</si>
  <si>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</si>
  <si>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</si>
  <si>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</si>
  <si>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</si>
  <si>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</si>
  <si>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</si>
  <si>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</si>
  <si>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</si>
  <si>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</si>
  <si>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</si>
  <si>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</si>
  <si>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</si>
  <si>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</si>
  <si>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</si>
  <si>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</si>
  <si>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</si>
  <si>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</si>
  <si>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</si>
  <si>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</si>
  <si>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</si>
  <si>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</si>
  <si>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</si>
  <si>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</si>
  <si>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</si>
  <si>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</si>
  <si>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</si>
  <si>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</si>
  <si>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</si>
  <si>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</si>
  <si>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</si>
  <si>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</si>
  <si>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</si>
  <si>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</si>
  <si>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</si>
  <si>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</si>
  <si>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</si>
  <si>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</si>
  <si>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</si>
  <si>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</si>
  <si>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</si>
  <si>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</si>
  <si>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</si>
  <si>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</si>
  <si>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</si>
  <si>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</si>
  <si>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</si>
  <si>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</si>
  <si>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</si>
  <si>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</si>
  <si>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</si>
  <si>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</si>
  <si>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</si>
  <si>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</si>
  <si>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</si>
  <si>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</si>
  <si>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</si>
  <si>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</si>
  <si>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</si>
  <si>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</si>
  <si>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</si>
  <si>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</si>
  <si>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</si>
  <si>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</si>
  <si>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</si>
  <si>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</si>
  <si>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</si>
  <si>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</si>
  <si>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</si>
  <si>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</si>
  <si>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</si>
  <si>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</si>
  <si>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</si>
  <si>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</si>
  <si>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</si>
  <si>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</si>
  <si>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</si>
  <si>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</si>
  <si>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</si>
  <si>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</si>
  <si>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</si>
  <si>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</si>
  <si>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</si>
  <si>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</si>
  <si>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</si>
  <si>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</si>
  <si>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</si>
  <si>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</si>
  <si>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</si>
  <si>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</si>
  <si>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</si>
  <si>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</si>
  <si>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</si>
  <si>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</si>
  <si>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</si>
  <si>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</si>
  <si>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</si>
  <si>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</si>
  <si>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</si>
  <si>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</si>
  <si>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</si>
  <si>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</si>
  <si>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</si>
  <si>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</si>
  <si>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</si>
  <si>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</si>
  <si>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</si>
  <si>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</si>
  <si>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</si>
  <si>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</si>
  <si>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</si>
  <si>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</si>
  <si>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</si>
  <si>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</si>
  <si>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</si>
  <si>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</si>
  <si>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</si>
  <si>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</si>
  <si>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</si>
  <si>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</si>
  <si>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</si>
  <si>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</si>
  <si>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</si>
  <si>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</si>
  <si>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</si>
  <si>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</si>
  <si>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</si>
  <si>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</si>
  <si>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</si>
  <si>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</si>
  <si>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</si>
  <si>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</si>
  <si>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</si>
  <si>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</si>
  <si>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</si>
  <si>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</si>
  <si>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</si>
  <si>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</si>
  <si>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</si>
  <si>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</si>
  <si>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</si>
  <si>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</si>
  <si>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</si>
  <si>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</si>
  <si>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</si>
  <si>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</si>
  <si>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</si>
  <si>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</si>
  <si>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</si>
  <si>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</si>
  <si>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</si>
  <si>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</si>
  <si>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</si>
  <si>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</si>
  <si>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</si>
  <si>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</si>
  <si>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</si>
  <si>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</si>
  <si>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</si>
  <si>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</si>
  <si>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</si>
  <si>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</si>
  <si>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</si>
  <si>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</si>
  <si>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</si>
  <si>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</si>
  <si>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</si>
  <si>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</si>
  <si>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</si>
  <si>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</si>
  <si>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</si>
  <si>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</si>
  <si>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</si>
  <si>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</si>
  <si>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</si>
  <si>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</si>
  <si>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</si>
  <si>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</si>
  <si>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</si>
  <si>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</si>
  <si>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</si>
  <si>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</si>
  <si>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</si>
  <si>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</si>
  <si>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</si>
  <si>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</si>
  <si>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</si>
  <si>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</si>
  <si>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</si>
  <si>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</si>
  <si>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</si>
  <si>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</si>
  <si>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</si>
  <si>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</si>
  <si>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</si>
  <si>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</si>
  <si>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</si>
  <si>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</si>
  <si>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</si>
  <si>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</si>
  <si>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</si>
  <si>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</si>
  <si>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</si>
  <si>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</si>
  <si>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</si>
  <si>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</si>
  <si>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</si>
  <si>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</si>
  <si>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</si>
  <si>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</si>
  <si>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</si>
  <si>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</si>
  <si>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</si>
  <si>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</si>
  <si>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</si>
  <si>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</si>
  <si>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</si>
  <si>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</si>
  <si>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</si>
  <si>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</si>
  <si>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</si>
  <si>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</si>
  <si>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</si>
  <si>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</si>
  <si>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</si>
  <si>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</si>
  <si>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</si>
  <si>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</si>
  <si>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</si>
  <si>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</si>
  <si>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</si>
  <si>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</si>
  <si>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</si>
  <si>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</si>
  <si>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</si>
  <si>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</si>
  <si>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</si>
  <si>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</si>
  <si>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</si>
  <si>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</si>
  <si>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</si>
  <si>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</si>
  <si>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</si>
  <si>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</si>
  <si>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</si>
  <si>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</si>
  <si>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</si>
  <si>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</si>
  <si>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</si>
  <si>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</si>
  <si>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</si>
  <si>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</si>
  <si>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</si>
  <si>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</si>
  <si>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</si>
  <si>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</si>
  <si>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</si>
  <si>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</si>
  <si>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</si>
  <si>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</si>
  <si>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</si>
  <si>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</si>
  <si>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</si>
  <si>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</si>
  <si>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</si>
  <si>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</si>
  <si>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</si>
  <si>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</si>
  <si>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</si>
  <si>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</si>
  <si>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</si>
  <si>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</si>
  <si>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</si>
  <si>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</si>
  <si>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</si>
  <si>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</si>
  <si>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</si>
  <si>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</si>
  <si>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</si>
  <si>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</si>
  <si>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</si>
  <si>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</si>
  <si>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</si>
  <si>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</si>
  <si>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</si>
  <si>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</si>
  <si>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</si>
  <si>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</si>
  <si>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</si>
  <si>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</si>
  <si>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</si>
  <si>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</si>
  <si>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</si>
  <si>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</si>
  <si>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</si>
  <si>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</si>
  <si>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</si>
  <si>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</si>
  <si>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</si>
  <si>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</si>
  <si>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</si>
  <si>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</si>
  <si>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</si>
  <si>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</si>
  <si>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</si>
  <si>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</si>
  <si>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</si>
  <si>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</si>
  <si>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</si>
  <si>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</si>
  <si>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</si>
  <si>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</si>
  <si>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</si>
  <si>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</si>
  <si>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</si>
  <si>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</si>
  <si>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</si>
  <si>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</si>
  <si>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</si>
  <si>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</si>
  <si>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</si>
  <si>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</si>
  <si>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</si>
  <si>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</si>
  <si>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</si>
  <si>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</si>
  <si>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</si>
  <si>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</si>
  <si>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</si>
  <si>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</si>
  <si>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</si>
  <si>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</si>
  <si>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</si>
  <si>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</si>
  <si>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</si>
  <si>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</si>
  <si>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</si>
  <si>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</si>
  <si>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</si>
  <si>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</si>
  <si>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</si>
  <si>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</si>
  <si>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</si>
  <si>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</si>
  <si>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</si>
  <si>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</si>
  <si>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</si>
  <si>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</si>
  <si>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</si>
  <si>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</si>
  <si>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</si>
  <si>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</si>
  <si>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</si>
  <si>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</si>
  <si>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</si>
  <si>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</si>
  <si>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</si>
  <si>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</si>
  <si>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</si>
  <si>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</si>
  <si>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</si>
  <si>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</si>
  <si>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</si>
  <si>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</si>
  <si>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</si>
  <si>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</si>
  <si>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</si>
  <si>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</si>
  <si>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</si>
  <si>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</si>
  <si>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</si>
  <si>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</si>
  <si>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</si>
  <si>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</si>
  <si>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</si>
  <si>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</si>
  <si>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</si>
  <si>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</si>
  <si>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</si>
  <si>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</si>
  <si>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</si>
  <si>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</si>
  <si>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</si>
  <si>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</si>
  <si>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</si>
  <si>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</si>
  <si>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</si>
  <si>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</si>
  <si>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</si>
  <si>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</si>
  <si>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</si>
  <si>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</si>
  <si>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</si>
  <si>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</si>
  <si>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</si>
  <si>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</si>
  <si>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</si>
  <si>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</si>
  <si>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</si>
  <si>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</si>
  <si>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</si>
  <si>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</si>
  <si>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</si>
  <si>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</si>
  <si>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</si>
  <si>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</si>
  <si>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</si>
  <si>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</si>
  <si>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</si>
  <si>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</si>
  <si>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</si>
  <si>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</si>
  <si>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</si>
  <si>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</si>
  <si>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</si>
  <si>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</si>
  <si>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</si>
  <si>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</si>
  <si>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</si>
  <si>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</si>
  <si>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</si>
  <si>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</si>
  <si>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</si>
  <si>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</si>
  <si>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</si>
  <si>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</si>
  <si>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</si>
  <si>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</si>
  <si>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</si>
  <si>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</si>
  <si>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</si>
  <si>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</si>
  <si>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</si>
  <si>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</si>
  <si>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</si>
  <si>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</si>
  <si>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</si>
  <si>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</si>
  <si>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</si>
  <si>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</si>
  <si>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</si>
  <si>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</si>
  <si>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</si>
  <si>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</si>
  <si>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</si>
  <si>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</si>
  <si>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</si>
  <si>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</si>
  <si>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</si>
  <si>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</si>
  <si>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</si>
  <si>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</si>
  <si>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</si>
  <si>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</si>
  <si>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</si>
  <si>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</si>
  <si>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</si>
  <si>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</si>
  <si>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</si>
  <si>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</si>
  <si>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</si>
  <si>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</si>
  <si>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</si>
  <si>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</si>
  <si>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</si>
  <si>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</si>
  <si>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</si>
  <si>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</si>
  <si>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</si>
  <si>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</si>
  <si>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</si>
  <si>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</si>
  <si>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</si>
  <si>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</si>
  <si>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</si>
  <si>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</si>
  <si>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</si>
  <si>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</si>
  <si>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</si>
  <si>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</si>
  <si>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</si>
  <si>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</si>
  <si>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</si>
  <si>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</si>
  <si>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</si>
  <si>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</si>
  <si>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</si>
  <si>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</si>
  <si>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</si>
  <si>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</si>
  <si>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</si>
  <si>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</si>
  <si>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</si>
  <si>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</si>
  <si>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</si>
  <si>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</si>
  <si>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</si>
  <si>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</si>
  <si>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</si>
  <si>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</si>
  <si>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</si>
  <si>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</si>
  <si>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</si>
  <si>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</si>
  <si>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</si>
  <si>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</si>
  <si>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</si>
  <si>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</si>
  <si>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</si>
  <si>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</si>
  <si>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</si>
  <si>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</si>
  <si>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</si>
  <si>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</si>
  <si>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</si>
  <si>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</si>
  <si>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</si>
  <si>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</si>
  <si>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</si>
  <si>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</si>
  <si>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</si>
  <si>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</si>
  <si>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</si>
  <si>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</si>
  <si>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</si>
  <si>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</si>
  <si>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</si>
  <si>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</si>
  <si>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</si>
  <si>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</si>
  <si>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</si>
  <si>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</si>
  <si>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</si>
  <si>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</si>
  <si>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</si>
  <si>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</si>
  <si>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</si>
  <si>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</si>
  <si>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</si>
  <si>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</si>
  <si>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</si>
  <si>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</si>
  <si>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</si>
  <si>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</si>
  <si>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</si>
  <si>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</si>
  <si>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</si>
  <si>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</si>
  <si>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</si>
  <si>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</si>
  <si>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</si>
  <si>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</si>
  <si>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</si>
  <si>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</si>
  <si>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</si>
  <si>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</si>
  <si>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</si>
  <si>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</si>
  <si>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</si>
  <si>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</si>
  <si>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</si>
  <si>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</si>
  <si>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</si>
  <si>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</si>
  <si>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</si>
  <si>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</si>
  <si>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</si>
  <si>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</si>
  <si>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</si>
  <si>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</si>
  <si>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</si>
  <si>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</si>
  <si>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</si>
  <si>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</si>
  <si>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</si>
  <si>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</si>
  <si>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</si>
  <si>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</si>
  <si>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</si>
  <si>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</si>
  <si>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</si>
  <si>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</si>
  <si>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</si>
  <si>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</si>
  <si>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</si>
  <si>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</si>
  <si>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</si>
  <si>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</si>
  <si>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</si>
  <si>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</si>
  <si>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</si>
  <si>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</si>
  <si>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</si>
  <si>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</si>
  <si>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</si>
  <si>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</si>
  <si>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</si>
  <si>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</si>
  <si>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</si>
  <si>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</si>
  <si>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</si>
  <si>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</si>
  <si>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</si>
  <si>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</si>
  <si>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</si>
  <si>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</si>
  <si>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</si>
  <si>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</si>
  <si>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</si>
  <si>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</si>
  <si>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</si>
  <si>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</si>
  <si>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</si>
  <si>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</si>
  <si>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</si>
  <si>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</si>
  <si>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</si>
  <si>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</si>
  <si>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</si>
  <si>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</si>
  <si>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</si>
  <si>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</si>
  <si>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</si>
  <si>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</si>
  <si>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</si>
  <si>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</si>
  <si>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</si>
  <si>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</si>
  <si>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</si>
  <si>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</si>
  <si>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</si>
  <si>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</si>
  <si>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</si>
  <si>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</si>
  <si>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</si>
  <si>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</si>
  <si>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</si>
  <si>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</si>
  <si>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</si>
  <si>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</si>
  <si>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</si>
  <si>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</si>
  <si>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</si>
  <si>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</si>
  <si>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</si>
  <si>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</si>
  <si>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</si>
  <si>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</si>
  <si>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</si>
  <si>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</si>
  <si>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</si>
  <si>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</si>
  <si>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</si>
  <si>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</si>
  <si>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</si>
  <si>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</si>
  <si>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</si>
  <si>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</si>
  <si>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</si>
  <si>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</si>
  <si>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</si>
  <si>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</si>
  <si>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</si>
  <si>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</si>
  <si>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</si>
  <si>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</si>
  <si>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</si>
  <si>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</si>
  <si>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</si>
  <si>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</si>
  <si>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</si>
  <si>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</si>
  <si>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</si>
  <si>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</si>
  <si>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</si>
  <si>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</si>
  <si>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</si>
  <si>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</si>
  <si>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</si>
  <si>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</si>
  <si>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</si>
  <si>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</si>
  <si>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</si>
  <si>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</si>
  <si>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</si>
  <si>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</si>
  <si>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</si>
  <si>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</si>
  <si>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</si>
  <si>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</si>
  <si>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</si>
  <si>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</si>
  <si>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</si>
  <si>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</si>
  <si>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</si>
  <si>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</si>
  <si>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</si>
  <si>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</si>
  <si>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</si>
  <si>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</si>
  <si>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</si>
  <si>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</si>
  <si>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</si>
  <si>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</si>
  <si>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</si>
  <si>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</si>
  <si>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</si>
  <si>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</si>
  <si>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</si>
  <si>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</si>
  <si>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</si>
  <si>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</si>
  <si>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</si>
  <si>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</si>
  <si>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</si>
  <si>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</si>
  <si>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</si>
  <si>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</si>
  <si>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</si>
  <si>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</si>
  <si>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</si>
  <si>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</si>
  <si>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</si>
  <si>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</si>
  <si>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</si>
  <si>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</si>
  <si>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</si>
  <si>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</si>
  <si>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</si>
  <si>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</si>
  <si>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</si>
  <si>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</si>
  <si>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</si>
  <si>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</si>
  <si>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</si>
  <si>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</si>
  <si>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</si>
  <si>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</si>
  <si>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</si>
  <si>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</si>
  <si>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</si>
  <si>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</si>
  <si>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</si>
  <si>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</si>
  <si>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</si>
  <si>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</si>
  <si>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</si>
  <si>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</si>
  <si>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</si>
  <si>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</si>
  <si>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</si>
  <si>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</si>
  <si>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</si>
  <si>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</si>
  <si>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</si>
  <si>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</si>
  <si>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</si>
  <si>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</si>
  <si>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</si>
  <si>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</si>
  <si>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</si>
  <si>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</si>
  <si>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</si>
  <si>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</si>
  <si>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</si>
  <si>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</si>
  <si>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</si>
  <si>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</si>
  <si>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</si>
  <si>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</si>
  <si>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</si>
  <si>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</si>
  <si>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</si>
  <si>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</si>
  <si>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</si>
  <si>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</si>
  <si>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</si>
  <si>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</si>
  <si>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</si>
  <si>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</si>
  <si>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</si>
  <si>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</si>
  <si>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</si>
  <si>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</si>
  <si>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</si>
  <si>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</si>
  <si>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</si>
  <si>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</si>
  <si>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</si>
  <si>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</si>
  <si>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</si>
  <si>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</si>
  <si>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</si>
  <si>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</si>
  <si>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</si>
  <si>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</si>
  <si>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</si>
  <si>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</si>
  <si>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</si>
  <si>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</si>
  <si>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</si>
  <si>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</si>
  <si>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</si>
  <si>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</si>
  <si>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</si>
  <si>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</si>
  <si>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</si>
  <si>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</si>
  <si>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</si>
  <si>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</si>
  <si>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</si>
  <si>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</si>
  <si>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</si>
  <si>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</si>
  <si>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</si>
  <si>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</si>
  <si>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</si>
  <si>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</si>
  <si>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</si>
  <si>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</si>
  <si>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</si>
  <si>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</si>
  <si>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</si>
  <si>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</si>
  <si>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</si>
  <si>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</si>
  <si>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</si>
  <si>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</si>
  <si>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</si>
  <si>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</si>
  <si>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</si>
  <si>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</si>
  <si>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</si>
  <si>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</si>
  <si>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</si>
  <si>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</si>
  <si>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</si>
  <si>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</si>
  <si>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</si>
  <si>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</si>
  <si>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</si>
  <si>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</si>
  <si>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</si>
  <si>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</si>
  <si>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</si>
  <si>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</si>
  <si>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</si>
  <si>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</si>
  <si>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</si>
  <si>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</si>
  <si>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</si>
  <si>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</si>
  <si>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</si>
  <si>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</si>
  <si>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</si>
  <si>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</si>
  <si>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</si>
  <si>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</si>
  <si>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</si>
  <si>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</si>
  <si>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</si>
  <si>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</si>
  <si>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</si>
  <si>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</si>
  <si>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</si>
  <si>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</si>
  <si>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</si>
  <si>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</si>
  <si>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</si>
  <si>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</si>
  <si>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</si>
  <si>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</si>
  <si>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</si>
  <si>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</si>
  <si>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</si>
  <si>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</si>
  <si>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</si>
  <si>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</si>
  <si>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</si>
  <si>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</si>
  <si>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</si>
  <si>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</si>
  <si>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</si>
  <si>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</si>
  <si>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</si>
  <si>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</si>
  <si>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</si>
  <si>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</si>
  <si>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</si>
  <si>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</si>
  <si>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</si>
  <si>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</si>
  <si>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</si>
  <si>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</si>
  <si>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</si>
  <si>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</si>
  <si>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</si>
  <si>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</si>
  <si>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</si>
  <si>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</si>
  <si>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</si>
  <si>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</si>
  <si>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</si>
  <si>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</si>
  <si>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</si>
  <si>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</si>
  <si>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</si>
  <si>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</si>
  <si>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</si>
  <si>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</si>
  <si>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</si>
  <si>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</si>
  <si>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</si>
  <si>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</si>
  <si>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</si>
  <si>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</si>
  <si>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</si>
  <si>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</si>
  <si>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</si>
  <si>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</si>
  <si>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</si>
  <si>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</si>
  <si>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</si>
  <si>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</si>
  <si>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</si>
  <si>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</si>
  <si>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</si>
  <si>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</si>
  <si>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</si>
  <si>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</si>
  <si>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</si>
  <si>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</si>
  <si>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</si>
  <si>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</si>
  <si>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</si>
  <si>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</si>
  <si>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</si>
  <si>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</si>
  <si>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</si>
  <si>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</si>
  <si>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</si>
  <si>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</si>
  <si>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</si>
  <si>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</si>
  <si>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</si>
  <si>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</si>
  <si>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</si>
  <si>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</si>
  <si>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</si>
  <si>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</si>
  <si>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</si>
  <si>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</si>
  <si>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</si>
  <si>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</si>
  <si>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</si>
  <si>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</si>
  <si>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</si>
  <si>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</si>
  <si>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</si>
  <si>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</si>
  <si>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</si>
  <si>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</si>
  <si>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</si>
  <si>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</si>
  <si>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</si>
  <si>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</si>
  <si>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</si>
  <si>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</si>
  <si>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</si>
  <si>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</si>
  <si>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</si>
  <si>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</si>
  <si>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</si>
  <si>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</si>
  <si>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</si>
  <si>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</si>
  <si>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</si>
  <si>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</si>
  <si>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</si>
  <si>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</si>
  <si>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</si>
  <si>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</si>
  <si>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</si>
  <si>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</si>
  <si>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</si>
  <si>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</si>
  <si>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</si>
  <si>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</si>
  <si>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</si>
  <si>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</si>
  <si>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</si>
  <si>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</si>
  <si>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</si>
  <si>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</si>
  <si>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</si>
  <si>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</si>
  <si>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</si>
  <si>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</si>
  <si>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</si>
  <si>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</si>
  <si>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</si>
  <si>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</si>
  <si>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</si>
  <si>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</si>
  <si>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</si>
  <si>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</si>
  <si>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</si>
  <si>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</si>
  <si>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</si>
  <si>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</si>
  <si>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</si>
  <si>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</si>
  <si>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</si>
  <si>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</si>
  <si>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</si>
  <si>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</si>
  <si>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</si>
  <si>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</si>
  <si>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</si>
  <si>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</si>
  <si>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</si>
  <si>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</si>
  <si>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</si>
  <si>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</si>
  <si>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</si>
  <si>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</si>
  <si>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</si>
  <si>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</si>
  <si>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</si>
  <si>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</si>
  <si>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</si>
  <si>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</si>
  <si>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</si>
  <si>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</si>
  <si>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</si>
  <si>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</si>
  <si>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</si>
  <si>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</si>
  <si>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</si>
  <si>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</si>
  <si>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</si>
  <si>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</si>
  <si>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</si>
  <si>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</si>
  <si>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</si>
  <si>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</si>
  <si>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</si>
  <si>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</si>
  <si>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</si>
  <si>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</si>
  <si>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</si>
  <si>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</si>
  <si>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</si>
  <si>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</si>
  <si>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</si>
  <si>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</si>
  <si>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</si>
  <si>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</si>
  <si>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</si>
  <si>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</si>
  <si>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</si>
  <si>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</si>
  <si>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</si>
  <si>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</si>
  <si>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</si>
  <si>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</si>
  <si>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</si>
  <si>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</si>
  <si>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</si>
  <si>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</si>
  <si>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</si>
  <si>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</si>
  <si>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</si>
  <si>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</si>
  <si>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</si>
  <si>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</si>
  <si>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</si>
  <si>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</si>
  <si>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</si>
  <si>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</si>
  <si>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</si>
  <si>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</si>
  <si>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</si>
  <si>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</si>
  <si>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</si>
  <si>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</si>
  <si>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</si>
  <si>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</si>
  <si>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</si>
  <si>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</si>
  <si>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</si>
  <si>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</si>
  <si>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</si>
  <si>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</si>
  <si>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</si>
  <si>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</si>
  <si>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</si>
  <si>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</si>
  <si>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</si>
  <si>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</si>
  <si>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</si>
  <si>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</si>
  <si>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</si>
  <si>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</si>
  <si>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</si>
  <si>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</si>
  <si>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</si>
  <si>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</si>
  <si>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</si>
  <si>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</si>
  <si>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</si>
  <si>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</si>
  <si>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</si>
  <si>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</si>
  <si>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</si>
  <si>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</si>
  <si>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</si>
  <si>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</si>
  <si>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</si>
  <si>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</si>
  <si>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</si>
  <si>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</si>
  <si>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</si>
  <si>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</si>
  <si>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</si>
  <si>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</si>
  <si>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</si>
  <si>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</si>
  <si>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</si>
  <si>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</si>
  <si>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</si>
  <si>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</si>
  <si>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</si>
  <si>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</si>
  <si>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</si>
  <si>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</si>
  <si>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</si>
  <si>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</si>
  <si>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</si>
  <si>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</si>
  <si>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</si>
  <si>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</si>
  <si>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</si>
  <si>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</si>
  <si>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</si>
  <si>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</si>
  <si>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</si>
  <si>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</si>
  <si>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</si>
  <si>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</si>
  <si>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</si>
  <si>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</si>
  <si>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</si>
  <si>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</si>
  <si>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</si>
  <si>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</si>
  <si>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</si>
  <si>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</si>
  <si>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</si>
  <si>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</si>
  <si>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</si>
  <si>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</si>
  <si>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</si>
  <si>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</si>
  <si>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</si>
  <si>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</si>
  <si>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</si>
  <si>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</si>
  <si>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</si>
  <si>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</si>
  <si>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</si>
  <si>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</si>
  <si>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</si>
  <si>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</si>
  <si>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</si>
  <si>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</si>
  <si>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</si>
  <si>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</si>
  <si>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</si>
  <si>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</si>
  <si>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</si>
  <si>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</si>
  <si>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</si>
  <si>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</si>
  <si>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</si>
  <si>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</si>
  <si>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</si>
  <si>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</si>
  <si>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</si>
  <si>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</si>
  <si>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</si>
  <si>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</si>
  <si>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</si>
  <si>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</si>
  <si>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</si>
  <si>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</si>
  <si>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</si>
  <si>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</si>
  <si>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</si>
  <si>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</si>
  <si>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</si>
  <si>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</si>
  <si>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</si>
  <si>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</si>
  <si>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</si>
  <si>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</si>
  <si>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</si>
  <si>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</si>
  <si>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</si>
  <si>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</si>
  <si>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</si>
  <si>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</si>
  <si>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</si>
  <si>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</si>
  <si>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</si>
  <si>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</si>
  <si>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</si>
  <si>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</si>
  <si>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</si>
  <si>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</si>
  <si>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</si>
  <si>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</si>
  <si>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</si>
  <si>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</si>
  <si>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</si>
  <si>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</si>
  <si>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</si>
  <si>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</si>
  <si>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</si>
  <si>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</si>
  <si>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</si>
  <si>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</si>
  <si>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</si>
  <si>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</si>
  <si>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</si>
  <si>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</si>
  <si>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</si>
  <si>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</si>
  <si>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</si>
  <si>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</si>
  <si>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</si>
  <si>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</si>
  <si>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</si>
  <si>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</si>
  <si>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</si>
  <si>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</si>
  <si>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</si>
  <si>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</si>
  <si>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</si>
  <si>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</si>
  <si>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</si>
  <si>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</si>
  <si>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</si>
  <si>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</si>
  <si>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</si>
  <si>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</si>
  <si>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</si>
  <si>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</si>
  <si>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</si>
  <si>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</si>
  <si>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</si>
  <si>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</si>
  <si>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</si>
  <si>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</si>
  <si>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</si>
  <si>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</si>
  <si>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</si>
  <si>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</si>
  <si>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</si>
  <si>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</si>
  <si>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</si>
  <si>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</si>
  <si>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</si>
  <si>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</si>
  <si>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</si>
  <si>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</si>
  <si>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</si>
  <si>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</si>
  <si>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</si>
  <si>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</si>
  <si>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</si>
  <si>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</si>
  <si>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</si>
  <si>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</si>
  <si>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</si>
  <si>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</si>
  <si>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</si>
  <si>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</si>
  <si>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</si>
  <si>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</si>
  <si>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</si>
  <si>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</si>
  <si>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</si>
  <si>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</si>
  <si>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</si>
  <si>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</si>
  <si>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</si>
  <si>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</si>
  <si>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</si>
  <si>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</si>
  <si>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</si>
  <si>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</si>
  <si>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</si>
  <si>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</si>
  <si>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</si>
  <si>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</si>
  <si>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</si>
  <si>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</si>
  <si>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</si>
  <si>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</si>
  <si>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</si>
  <si>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</si>
  <si>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</si>
  <si>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</si>
  <si>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</si>
  <si>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</si>
  <si>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</si>
  <si>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</si>
  <si>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</si>
  <si>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</si>
  <si>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</si>
  <si>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</si>
  <si>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</si>
  <si>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</si>
  <si>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</si>
  <si>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</si>
  <si>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</si>
  <si>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</si>
  <si>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</si>
  <si>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</si>
  <si>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</si>
  <si>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</si>
  <si>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</si>
  <si>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</si>
  <si>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</si>
  <si>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</si>
  <si>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</si>
  <si>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</si>
  <si>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</si>
  <si>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</si>
  <si>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</si>
  <si>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</si>
  <si>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</si>
  <si>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</si>
  <si>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</si>
  <si>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</si>
  <si>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</si>
  <si>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</si>
  <si>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</si>
  <si>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</si>
  <si>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</si>
  <si>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</si>
  <si>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</si>
  <si>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</si>
  <si>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</si>
  <si>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</si>
  <si>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</si>
  <si>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</si>
  <si>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</si>
  <si>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</si>
  <si>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</si>
  <si>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</si>
  <si>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</si>
  <si>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</si>
  <si>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</si>
  <si>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</si>
  <si>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</si>
  <si>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</si>
  <si>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</si>
  <si>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</si>
  <si>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</si>
  <si>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</si>
  <si>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</si>
  <si>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</si>
  <si>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</si>
  <si>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</si>
  <si>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</si>
  <si>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</si>
  <si>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</si>
  <si>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</si>
  <si>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</si>
  <si>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</si>
  <si>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</si>
  <si>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</si>
  <si>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</si>
  <si>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</si>
  <si>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</si>
  <si>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</si>
  <si>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</si>
  <si>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</si>
  <si>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</si>
  <si>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</si>
  <si>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</si>
  <si>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</si>
  <si>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</si>
  <si>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</si>
  <si>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</si>
  <si>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</si>
  <si>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</si>
  <si>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</si>
  <si>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</si>
  <si>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</si>
  <si>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</si>
  <si>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</si>
  <si>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</si>
  <si>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</si>
  <si>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</si>
  <si>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</si>
  <si>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</si>
  <si>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</si>
  <si>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</si>
  <si>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</si>
  <si>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</si>
  <si>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</si>
  <si>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</si>
  <si>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</si>
  <si>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</si>
  <si>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</si>
  <si>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</si>
  <si>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</si>
  <si>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</si>
  <si>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</si>
  <si>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</si>
  <si>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</si>
  <si>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</si>
  <si>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</si>
  <si>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</si>
  <si>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</si>
  <si>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</si>
  <si>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</si>
  <si>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</si>
  <si>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</si>
  <si>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</si>
  <si>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</si>
  <si>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</si>
  <si>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</si>
  <si>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</si>
  <si>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</si>
  <si>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</si>
  <si>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</si>
  <si>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</si>
  <si>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</si>
  <si>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</si>
  <si>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</si>
  <si>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</si>
  <si>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</si>
  <si>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</si>
  <si>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</si>
  <si>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</si>
  <si>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</si>
  <si>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</si>
  <si>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</si>
  <si>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</si>
  <si>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</si>
  <si>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</si>
  <si>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</si>
  <si>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</si>
  <si>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</si>
  <si>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</si>
  <si>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</si>
  <si>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</si>
  <si>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</si>
  <si>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</si>
  <si>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</si>
  <si>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</si>
  <si>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</si>
  <si>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</si>
  <si>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</si>
  <si>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</si>
  <si>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</si>
  <si>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</si>
  <si>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</si>
  <si>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</si>
  <si>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</si>
  <si>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</si>
  <si>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</si>
  <si>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</si>
  <si>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</si>
  <si>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</si>
  <si>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</si>
  <si>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</si>
  <si>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</si>
  <si>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</si>
  <si>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</si>
  <si>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</si>
  <si>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</si>
  <si>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</si>
  <si>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</si>
  <si>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</si>
  <si>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</si>
  <si>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</si>
  <si>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</si>
  <si>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</si>
  <si>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</si>
  <si>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</si>
  <si>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</si>
  <si>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</si>
  <si>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</si>
  <si>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</si>
  <si>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</si>
  <si>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</si>
  <si>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</si>
  <si>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</si>
  <si>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</si>
  <si>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</si>
  <si>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</si>
  <si>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</si>
  <si>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</si>
  <si>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</si>
  <si>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</si>
  <si>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</si>
  <si>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</si>
  <si>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</si>
  <si>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</si>
  <si>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</si>
  <si>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</si>
  <si>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</si>
  <si>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</si>
  <si>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</si>
  <si>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</si>
  <si>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</si>
  <si>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</si>
  <si>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</si>
  <si>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</si>
  <si>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</si>
  <si>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</si>
  <si>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</si>
  <si>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</si>
  <si>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</si>
  <si>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</si>
  <si>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</si>
  <si>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</si>
  <si>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</si>
  <si>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</si>
  <si>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</si>
  <si>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</si>
  <si>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</si>
  <si>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</si>
  <si>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</si>
  <si>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</si>
  <si>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</si>
  <si>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</si>
  <si>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</si>
  <si>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</si>
  <si>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</si>
  <si>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</si>
  <si>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</si>
  <si>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</si>
  <si>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</si>
  <si>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</si>
  <si>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</si>
  <si>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</si>
  <si>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</si>
  <si>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</si>
  <si>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</si>
  <si>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</si>
  <si>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</si>
  <si>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</si>
  <si>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</si>
  <si>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</si>
  <si>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</si>
  <si>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</si>
  <si>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</si>
  <si>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</si>
  <si>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</si>
  <si>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</si>
  <si>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</si>
  <si>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</si>
  <si>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</si>
  <si>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</si>
  <si>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</si>
  <si>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</si>
  <si>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</si>
  <si>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</si>
  <si>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</si>
  <si>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</si>
  <si>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</si>
  <si>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</si>
  <si>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</si>
  <si>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</si>
  <si>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</si>
  <si>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</si>
  <si>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</si>
  <si>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</si>
  <si>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</si>
  <si>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</si>
  <si>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</si>
  <si>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</si>
  <si>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</si>
  <si>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</si>
  <si>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</si>
  <si>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</si>
  <si>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</si>
  <si>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</si>
  <si>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</si>
  <si>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</si>
  <si>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</si>
  <si>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</si>
  <si>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</si>
  <si>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</si>
  <si>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</si>
  <si>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</si>
  <si>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</si>
  <si>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</si>
  <si>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</si>
  <si>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</si>
  <si>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</si>
  <si>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</si>
  <si>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</si>
  <si>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</si>
  <si>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</si>
  <si>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</si>
  <si>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</si>
  <si>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</si>
  <si>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</si>
  <si>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</si>
  <si>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</si>
  <si>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</si>
  <si>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</si>
  <si>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</si>
  <si>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</si>
  <si>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</si>
  <si>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</si>
  <si>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</si>
  <si>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</si>
  <si>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</si>
  <si>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</si>
  <si>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</si>
  <si>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</si>
  <si>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</si>
  <si>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</si>
  <si>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</si>
  <si>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</si>
  <si>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</si>
  <si>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</si>
  <si>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</si>
  <si>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</si>
  <si>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</si>
  <si>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</si>
  <si>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</si>
  <si>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</si>
  <si>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</si>
  <si>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</si>
  <si>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</si>
  <si>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</si>
  <si>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</si>
  <si>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</si>
  <si>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</si>
  <si>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</si>
  <si>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</si>
  <si>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</si>
  <si>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</si>
  <si>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</si>
  <si>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</si>
  <si>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</si>
  <si>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</si>
  <si>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</si>
  <si>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</si>
  <si>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</si>
  <si>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</si>
  <si>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</si>
  <si>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</si>
  <si>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</si>
  <si>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</si>
  <si>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</si>
  <si>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</si>
  <si>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</si>
  <si>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</si>
  <si>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</si>
  <si>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</si>
  <si>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</si>
  <si>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</si>
  <si>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</si>
  <si>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</si>
  <si>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</si>
  <si>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</si>
  <si>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</si>
  <si>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</si>
  <si>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</si>
  <si>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</si>
  <si>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</si>
  <si>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</si>
  <si>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</si>
  <si>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</si>
  <si>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</si>
  <si>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</si>
  <si>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</si>
  <si>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</si>
  <si>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</si>
  <si>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</si>
  <si>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</si>
  <si>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</si>
  <si>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</si>
  <si>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</si>
  <si>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</si>
  <si>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</si>
  <si>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</si>
  <si>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</si>
  <si>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</si>
  <si>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</si>
  <si>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</si>
  <si>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</si>
  <si>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</si>
  <si>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</si>
  <si>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</si>
  <si>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</si>
  <si>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</si>
  <si>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</si>
  <si>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</si>
  <si>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</si>
  <si>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</si>
  <si>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</si>
  <si>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</si>
  <si>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</si>
  <si>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</si>
  <si>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</si>
  <si>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</si>
  <si>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</si>
  <si>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</si>
  <si>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</si>
  <si>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</si>
  <si>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</si>
  <si>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</si>
  <si>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</si>
  <si>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</si>
  <si>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</si>
  <si>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</si>
  <si>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</si>
  <si>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</si>
  <si>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</si>
  <si>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</si>
  <si>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</si>
  <si>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</si>
  <si>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</si>
  <si>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</si>
  <si>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</si>
  <si>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</si>
  <si>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</si>
  <si>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</si>
  <si>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</si>
  <si>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</si>
  <si>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</si>
  <si>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</si>
  <si>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</si>
  <si>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</si>
  <si>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</si>
  <si>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</si>
  <si>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</si>
  <si>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</si>
  <si>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</si>
  <si>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</si>
  <si>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</si>
  <si>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</si>
  <si>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</si>
  <si>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</si>
  <si>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</si>
  <si>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</si>
  <si>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</si>
  <si>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</si>
  <si>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</si>
  <si>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</si>
  <si>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</si>
  <si>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</si>
  <si>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</si>
  <si>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</si>
  <si>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</si>
  <si>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</si>
  <si>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</si>
  <si>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</si>
  <si>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</si>
  <si>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</si>
  <si>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</si>
  <si>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</si>
  <si>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</si>
  <si>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</si>
  <si>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</si>
  <si>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</si>
  <si>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</si>
  <si>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</si>
  <si>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</si>
  <si>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</si>
  <si>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</si>
  <si>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</si>
  <si>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</si>
  <si>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</si>
  <si>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</si>
  <si>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</si>
  <si>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</si>
  <si>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</si>
  <si>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</si>
  <si>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</si>
  <si>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</si>
  <si>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</si>
  <si>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</si>
  <si>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</si>
  <si>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</si>
  <si>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</si>
  <si>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</si>
  <si>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</si>
  <si>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</si>
  <si>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</si>
  <si>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</si>
  <si>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</si>
  <si>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</si>
  <si>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</si>
  <si>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</si>
  <si>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</si>
  <si>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</si>
  <si>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</si>
  <si>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</si>
  <si>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</si>
  <si>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</si>
  <si>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</si>
  <si>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</si>
  <si>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</si>
  <si>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</si>
  <si>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</si>
  <si>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</si>
  <si>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</si>
  <si>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</si>
  <si>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</si>
  <si>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</si>
  <si>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</si>
  <si>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</si>
  <si>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</si>
  <si>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</si>
  <si>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</si>
  <si>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</si>
  <si>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</si>
  <si>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</si>
  <si>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</si>
  <si>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</si>
  <si>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</si>
  <si>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</si>
  <si>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</si>
  <si>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</si>
  <si>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</si>
  <si>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</si>
  <si>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</si>
  <si>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</si>
  <si>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</si>
  <si>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</si>
  <si>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</si>
  <si>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</si>
  <si>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</si>
  <si>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</si>
  <si>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</si>
  <si>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</si>
  <si>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</si>
  <si>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</si>
  <si>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</si>
  <si>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</si>
  <si>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</si>
  <si>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</si>
  <si>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</si>
  <si>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</si>
  <si>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</si>
  <si>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</si>
  <si>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</si>
  <si>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</si>
  <si>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</si>
  <si>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</si>
  <si>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</si>
  <si>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</si>
  <si>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</si>
  <si>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</si>
  <si>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</si>
  <si>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</si>
  <si>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</si>
  <si>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</si>
  <si>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</si>
  <si>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</si>
  <si>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</si>
  <si>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</si>
  <si>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</si>
  <si>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</si>
  <si>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</si>
  <si>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</si>
  <si>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</si>
  <si>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</si>
  <si>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</si>
  <si>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</si>
  <si>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</si>
  <si>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</si>
  <si>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</si>
  <si>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</si>
  <si>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</si>
  <si>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</si>
  <si>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</si>
  <si>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</si>
  <si>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</si>
  <si>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</si>
  <si>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</si>
  <si>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</si>
  <si>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</si>
  <si>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</si>
  <si>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</si>
  <si>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</si>
  <si>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</si>
  <si>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</si>
  <si>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</si>
  <si>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</si>
  <si>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</si>
  <si>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</si>
  <si>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</si>
  <si>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</si>
  <si>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</si>
  <si>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</si>
  <si>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</si>
  <si>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</si>
  <si>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</si>
  <si>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</si>
  <si>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</si>
  <si>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</si>
  <si>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</si>
  <si>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</si>
  <si>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</si>
  <si>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</si>
  <si>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</si>
  <si>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</si>
  <si>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</si>
  <si>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</si>
  <si>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</si>
  <si>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</si>
  <si>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</si>
  <si>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</si>
  <si>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</si>
  <si>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</si>
  <si>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</si>
  <si>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</si>
  <si>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</si>
  <si>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</si>
  <si>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</si>
  <si>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</si>
  <si>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</si>
  <si>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</si>
  <si>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</si>
  <si>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</si>
  <si>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</si>
  <si>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</si>
  <si>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</si>
  <si>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</si>
  <si>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</si>
  <si>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</si>
  <si>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</si>
  <si>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</si>
  <si>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</si>
  <si>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</si>
  <si>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</si>
  <si>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</si>
  <si>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</si>
  <si>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</si>
  <si>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</si>
  <si>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</si>
  <si>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</si>
  <si>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</si>
  <si>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</si>
  <si>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</si>
  <si>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</si>
  <si>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</si>
  <si>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</si>
  <si>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</si>
  <si>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</si>
  <si>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</si>
  <si>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</si>
  <si>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</si>
  <si>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</si>
  <si>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</si>
  <si>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</si>
  <si>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</si>
  <si>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</si>
  <si>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</si>
  <si>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</si>
  <si>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</si>
  <si>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</si>
  <si>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</si>
  <si>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</si>
  <si>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</si>
  <si>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</si>
  <si>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</si>
  <si>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</si>
  <si>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</si>
  <si>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</si>
  <si>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</si>
  <si>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</si>
  <si>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</si>
  <si>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</si>
  <si>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</si>
  <si>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</si>
  <si>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</si>
  <si>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</si>
  <si>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</si>
  <si>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</si>
  <si>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</si>
  <si>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</si>
  <si>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</si>
  <si>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</si>
  <si>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</si>
  <si>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</si>
  <si>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</si>
  <si>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</si>
  <si>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</si>
  <si>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</si>
  <si>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</si>
  <si>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</si>
  <si>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</si>
  <si>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</si>
  <si>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</si>
  <si>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</si>
  <si>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</si>
  <si>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</si>
  <si>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</si>
  <si>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</si>
  <si>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</si>
  <si>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</si>
  <si>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</si>
  <si>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</si>
  <si>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</si>
  <si>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</si>
  <si>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</si>
  <si>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</si>
  <si>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</si>
  <si>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</si>
  <si>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</si>
  <si>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</si>
  <si>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</si>
  <si>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</si>
  <si>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</si>
  <si>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</si>
  <si>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</si>
  <si>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</si>
  <si>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</si>
  <si>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</si>
  <si>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</si>
  <si>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</si>
  <si>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</si>
  <si>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</si>
  <si>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</si>
  <si>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</si>
  <si>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</si>
  <si>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</si>
  <si>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</si>
  <si>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</si>
  <si>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</si>
  <si>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</si>
  <si>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</si>
  <si>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</si>
  <si>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</si>
  <si>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</si>
  <si>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</si>
  <si>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</si>
  <si>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</si>
  <si>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</si>
  <si>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</si>
  <si>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</si>
  <si>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</si>
  <si>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</si>
  <si>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</si>
  <si>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</si>
  <si>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</si>
  <si>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</si>
  <si>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</si>
  <si>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</si>
  <si>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</si>
  <si>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</si>
  <si>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</si>
  <si>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</si>
  <si>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</si>
  <si>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</si>
  <si>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</si>
  <si>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</si>
  <si>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</si>
  <si>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</si>
  <si>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</si>
  <si>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</si>
  <si>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</si>
  <si>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</si>
  <si>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</si>
  <si>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</si>
  <si>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</si>
  <si>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</si>
  <si>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</si>
  <si>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</si>
  <si>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</si>
  <si>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</si>
  <si>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</si>
  <si>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</si>
  <si>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</si>
  <si>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</si>
  <si>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</si>
  <si>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</si>
  <si>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</si>
  <si>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</si>
  <si>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</si>
  <si>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</si>
  <si>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</si>
  <si>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</si>
  <si>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</si>
  <si>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</si>
  <si>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</si>
  <si>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</si>
  <si>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</si>
  <si>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</si>
  <si>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</si>
  <si>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</si>
  <si>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</si>
  <si>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</si>
  <si>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</si>
  <si>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</si>
  <si>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</si>
  <si>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</si>
  <si>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</si>
  <si>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</si>
  <si>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</si>
  <si>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</si>
  <si>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</si>
  <si>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</si>
  <si>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</si>
  <si>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</si>
  <si>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</si>
  <si>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</si>
  <si>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</si>
  <si>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</si>
  <si>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</si>
  <si>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</si>
  <si>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</si>
  <si>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</si>
  <si>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</si>
  <si>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</si>
  <si>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</si>
  <si>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</si>
  <si>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</si>
  <si>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</si>
  <si>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</si>
  <si>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</si>
  <si>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</si>
  <si>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</si>
  <si>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</si>
  <si>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</si>
  <si>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</si>
  <si>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</si>
  <si>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</si>
  <si>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</si>
  <si>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</si>
  <si>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</si>
  <si>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</si>
  <si>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</si>
  <si>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</si>
  <si>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</si>
  <si>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</si>
  <si>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</si>
  <si>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</si>
  <si>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</si>
  <si>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</si>
  <si>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</si>
  <si>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</si>
  <si>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</si>
  <si>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</si>
  <si>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</si>
  <si>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</si>
  <si>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</si>
  <si>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</si>
  <si>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</si>
  <si>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</si>
  <si>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</si>
  <si>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</si>
  <si>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</si>
  <si>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</si>
  <si>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</si>
  <si>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</si>
  <si>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</si>
  <si>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</si>
  <si>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</si>
  <si>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</si>
  <si>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</si>
  <si>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</si>
  <si>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</si>
  <si>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</si>
  <si>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</si>
  <si>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</si>
  <si>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</si>
  <si>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</si>
  <si>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</si>
  <si>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</si>
  <si>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</si>
  <si>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</si>
  <si>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</si>
  <si>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</si>
  <si>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</si>
  <si>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</si>
  <si>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</si>
  <si>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</si>
  <si>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</si>
  <si>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</si>
  <si>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</si>
  <si>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</si>
  <si>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</si>
  <si>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</si>
  <si>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</si>
  <si>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</si>
  <si>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</si>
  <si>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</si>
  <si>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</si>
  <si>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</si>
  <si>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</si>
  <si>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</si>
  <si>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</si>
  <si>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</si>
  <si>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</si>
  <si>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</si>
  <si>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</si>
  <si>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</si>
  <si>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</si>
  <si>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</si>
  <si>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</si>
  <si>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</si>
  <si>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</si>
  <si>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</si>
  <si>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</si>
  <si>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</si>
  <si>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</si>
  <si>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</si>
  <si>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</si>
  <si>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</si>
  <si>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</si>
  <si>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</si>
  <si>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</si>
  <si>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</si>
  <si>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</si>
  <si>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</si>
  <si>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</si>
  <si>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</si>
  <si>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</si>
  <si>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</si>
  <si>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</si>
  <si>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</si>
  <si>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</si>
  <si>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</si>
  <si>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</si>
  <si>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</si>
  <si>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</si>
  <si>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</si>
  <si>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</si>
  <si>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</si>
  <si>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</si>
  <si>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</si>
  <si>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</si>
  <si>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</si>
  <si>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</si>
  <si>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</si>
  <si>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</si>
  <si>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</si>
  <si>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</si>
  <si>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</si>
  <si>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</si>
  <si>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</si>
  <si>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</si>
  <si>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</si>
  <si>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</si>
  <si>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</si>
  <si>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</si>
  <si>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</si>
  <si>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</si>
  <si>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</si>
  <si>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</si>
  <si>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</si>
  <si>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</si>
  <si>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</si>
  <si>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</si>
  <si>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</si>
  <si>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</si>
  <si>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</si>
  <si>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</si>
  <si>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</si>
  <si>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</si>
  <si>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</si>
  <si>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</si>
  <si>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</si>
  <si>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</si>
  <si>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</si>
  <si>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</si>
  <si>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</si>
  <si>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</si>
  <si>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</si>
  <si>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</si>
  <si>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</si>
  <si>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</si>
  <si>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</si>
  <si>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</si>
  <si>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</si>
  <si>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</si>
  <si>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</si>
  <si>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</si>
  <si>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</si>
  <si>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</si>
  <si>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</si>
  <si>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</si>
  <si>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</si>
  <si>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</si>
  <si>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</si>
  <si>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</si>
  <si>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</si>
  <si>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</si>
  <si>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</si>
  <si>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</si>
  <si>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</si>
  <si>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</si>
  <si>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</si>
  <si>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</si>
  <si>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</si>
  <si>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</si>
  <si>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</si>
  <si>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</si>
  <si>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</si>
  <si>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</si>
  <si>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</si>
  <si>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</si>
  <si>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</si>
  <si>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</si>
  <si>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</si>
  <si>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</si>
  <si>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</si>
  <si>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</si>
  <si>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</si>
  <si>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</si>
  <si>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</si>
  <si>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</si>
  <si>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</si>
  <si>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</si>
  <si>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</si>
  <si>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</si>
  <si>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</si>
  <si>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</si>
  <si>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</si>
  <si>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</si>
  <si>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</si>
  <si>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</si>
  <si>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</si>
  <si>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</si>
  <si>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</si>
  <si>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</si>
  <si>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</si>
  <si>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</si>
  <si>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</si>
  <si>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</si>
  <si>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</si>
  <si>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</si>
  <si>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</si>
  <si>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</si>
  <si>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</si>
  <si>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</si>
  <si>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</si>
  <si>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</si>
  <si>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</si>
  <si>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</si>
  <si>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</si>
  <si>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</si>
  <si>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</si>
  <si>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</si>
  <si>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</si>
  <si>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</si>
  <si>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</si>
  <si>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</si>
  <si>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</si>
  <si>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</si>
  <si>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</si>
  <si>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</si>
  <si>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</si>
  <si>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</si>
  <si>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</si>
  <si>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</si>
  <si>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</si>
  <si>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</si>
  <si>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</si>
  <si>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</si>
  <si>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</si>
  <si>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</si>
  <si>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</si>
  <si>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</si>
  <si>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</si>
  <si>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</si>
  <si>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</si>
  <si>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</si>
  <si>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</si>
  <si>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</si>
  <si>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</si>
  <si>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</si>
  <si>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</si>
  <si>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</si>
  <si>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</si>
  <si>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</si>
  <si>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</si>
  <si>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</si>
  <si>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</si>
  <si>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</si>
  <si>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</si>
  <si>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</si>
  <si>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</si>
  <si>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</si>
  <si>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</si>
  <si>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</si>
  <si>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</si>
  <si>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</si>
  <si>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</si>
  <si>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</si>
  <si>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</si>
  <si>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</si>
  <si>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</si>
  <si>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</si>
  <si>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</si>
  <si>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</si>
  <si>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</si>
  <si>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</si>
  <si>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</si>
  <si>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</si>
  <si>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</si>
  <si>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</si>
  <si>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</si>
  <si>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</si>
  <si>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</si>
  <si>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</si>
  <si>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</si>
  <si>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</si>
  <si>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</si>
  <si>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</si>
  <si>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</si>
  <si>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</si>
  <si>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</si>
  <si>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</si>
  <si>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</si>
  <si>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</si>
  <si>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</si>
  <si>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</si>
  <si>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</si>
  <si>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</si>
  <si>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</si>
  <si>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</si>
  <si>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</si>
  <si>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</si>
  <si>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</si>
  <si>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</si>
  <si>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</si>
  <si>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</si>
  <si>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</si>
  <si>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</si>
  <si>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</si>
  <si>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</si>
  <si>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</si>
  <si>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</si>
  <si>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</si>
  <si>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</si>
  <si>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</si>
  <si>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</si>
  <si>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</si>
  <si>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</si>
  <si>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</si>
  <si>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</si>
  <si>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</si>
  <si>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</si>
  <si>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</si>
  <si>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</si>
  <si>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</si>
  <si>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</si>
  <si>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</si>
  <si>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</si>
  <si>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</si>
  <si>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</si>
  <si>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</si>
  <si>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</si>
  <si>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</si>
  <si>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</si>
  <si>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</si>
  <si>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</si>
  <si>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</si>
  <si>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</si>
  <si>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</si>
  <si>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</si>
  <si>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</si>
  <si>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</si>
  <si>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</si>
  <si>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</si>
  <si>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</si>
  <si>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</si>
  <si>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</si>
  <si>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</si>
  <si>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</si>
  <si>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</si>
  <si>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</si>
  <si>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</si>
  <si>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</si>
  <si>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</si>
  <si>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</si>
  <si>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</si>
  <si>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</si>
  <si>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</si>
  <si>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</si>
  <si>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</si>
  <si>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</si>
  <si>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</si>
  <si>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</si>
  <si>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</si>
  <si>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</si>
  <si>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</si>
  <si>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</si>
  <si>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</si>
  <si>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</si>
  <si>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</si>
  <si>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</si>
  <si>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</si>
  <si>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</si>
  <si>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</si>
  <si>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</si>
  <si>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</si>
  <si>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</si>
  <si>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</si>
  <si>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</si>
  <si>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</si>
  <si>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</si>
  <si>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</si>
  <si>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</si>
  <si>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</si>
  <si>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</si>
  <si>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</si>
  <si>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</si>
  <si>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</si>
  <si>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</si>
  <si>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</si>
  <si>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</si>
  <si>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</si>
  <si>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</si>
  <si>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</si>
  <si>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</si>
  <si>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</si>
  <si>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</si>
  <si>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</si>
  <si>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</si>
  <si>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</si>
  <si>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</si>
  <si>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</si>
  <si>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</si>
  <si>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</si>
  <si>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</si>
  <si>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</si>
  <si>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</si>
  <si>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</si>
  <si>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</si>
  <si>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</si>
  <si>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</si>
  <si>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</si>
  <si>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</si>
  <si>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</si>
  <si>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</si>
  <si>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</si>
  <si>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</si>
  <si>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</si>
  <si>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</si>
  <si>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</si>
  <si>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</si>
  <si>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</si>
  <si>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</si>
  <si>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</si>
  <si>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</si>
  <si>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</si>
  <si>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</si>
  <si>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</si>
  <si>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</si>
  <si>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</si>
  <si>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</si>
  <si>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</si>
  <si>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</si>
  <si>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</si>
  <si>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</si>
  <si>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</si>
  <si>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</si>
  <si>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</si>
  <si>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</si>
  <si>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</si>
  <si>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</si>
  <si>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</si>
  <si>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</si>
  <si>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</si>
  <si>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</si>
  <si>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</si>
  <si>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</si>
  <si>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</si>
  <si>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</si>
  <si>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</si>
  <si>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</si>
  <si>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</si>
  <si>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</si>
  <si>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</si>
  <si>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</si>
  <si>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</si>
  <si>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</si>
  <si>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</si>
  <si>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</si>
  <si>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</si>
  <si>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</si>
  <si>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</si>
  <si>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</si>
  <si>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</si>
  <si>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</si>
  <si>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</si>
  <si>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</si>
  <si>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</si>
  <si>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</si>
  <si>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</si>
  <si>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</si>
  <si>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</si>
  <si>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</si>
  <si>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</si>
  <si>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</si>
  <si>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</si>
  <si>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</si>
  <si>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</si>
  <si>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</si>
  <si>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</si>
  <si>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</si>
  <si>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</si>
  <si>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</si>
  <si>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</si>
  <si>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</si>
  <si>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</si>
  <si>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</si>
  <si>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</si>
  <si>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</si>
  <si>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</si>
  <si>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</si>
  <si>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</si>
  <si>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</si>
  <si>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</si>
  <si>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</si>
  <si>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</si>
  <si>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</si>
  <si>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</si>
  <si>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</si>
  <si>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</si>
  <si>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</si>
  <si>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</si>
  <si>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</si>
  <si>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</si>
  <si>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</si>
  <si>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</si>
  <si>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</si>
  <si>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</si>
  <si>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</si>
  <si>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</si>
  <si>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</si>
  <si>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</si>
  <si>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</si>
  <si>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</si>
  <si>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</si>
  <si>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</si>
  <si>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</si>
  <si>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</si>
  <si>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</si>
  <si>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</si>
  <si>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</si>
  <si>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</si>
  <si>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</si>
  <si>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</si>
  <si>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</si>
  <si>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</si>
  <si>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</si>
  <si>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</si>
  <si>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</si>
  <si>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</si>
  <si>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</si>
  <si>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</si>
  <si>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</si>
  <si>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</si>
  <si>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</si>
  <si>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</si>
  <si>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</si>
  <si>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</si>
  <si>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</si>
  <si>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</si>
  <si>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</si>
  <si>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</si>
  <si>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</si>
  <si>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</si>
  <si>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</si>
  <si>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</si>
  <si>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</si>
  <si>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</si>
  <si>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</si>
  <si>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</si>
  <si>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</si>
  <si>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</si>
  <si>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</si>
  <si>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</si>
  <si>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</si>
  <si>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</si>
  <si>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</si>
  <si>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</si>
  <si>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</si>
  <si>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</si>
  <si>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</si>
  <si>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</si>
  <si>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</si>
  <si>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</si>
  <si>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</si>
  <si>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</si>
  <si>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</si>
  <si>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</si>
  <si>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</si>
  <si>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</si>
  <si>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</si>
  <si>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</si>
  <si>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</si>
  <si>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</si>
  <si>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</si>
  <si>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</si>
  <si>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</si>
  <si>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</si>
  <si>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</si>
  <si>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</si>
  <si>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</si>
  <si>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</si>
  <si>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</si>
  <si>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</si>
  <si>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</si>
  <si>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</si>
  <si>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</si>
  <si>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</si>
  <si>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</si>
  <si>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</si>
  <si>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</si>
  <si>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</si>
  <si>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</si>
  <si>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</si>
  <si>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</si>
  <si>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</si>
  <si>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</si>
  <si>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</si>
  <si>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</si>
  <si>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</si>
  <si>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</si>
  <si>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</si>
  <si>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</si>
  <si>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</si>
  <si>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</si>
  <si>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</si>
  <si>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</si>
  <si>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</si>
  <si>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</si>
  <si>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</si>
  <si>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</si>
  <si>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</si>
  <si>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</si>
  <si>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</si>
  <si>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</si>
  <si>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</si>
  <si>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</si>
  <si>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</si>
  <si>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</si>
  <si>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</si>
  <si>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</si>
  <si>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</si>
  <si>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</si>
  <si>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</si>
  <si>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</si>
  <si>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</si>
  <si>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</si>
  <si>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</si>
  <si>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</si>
  <si>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</si>
  <si>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</si>
  <si>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</si>
  <si>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</si>
  <si>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</si>
  <si>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</si>
  <si>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</si>
  <si>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</si>
  <si>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</si>
  <si>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</si>
  <si>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</si>
  <si>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</si>
  <si>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</si>
  <si>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</si>
  <si>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</si>
  <si>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</si>
  <si>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</si>
  <si>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</si>
  <si>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</si>
  <si>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</si>
  <si>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</si>
  <si>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</si>
  <si>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</si>
  <si>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</si>
  <si>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</si>
  <si>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</si>
  <si>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</si>
  <si>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</si>
  <si>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</si>
  <si>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</si>
  <si>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</si>
  <si>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</si>
  <si>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</si>
  <si>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</si>
  <si>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</si>
  <si>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</si>
  <si>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</si>
  <si>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</si>
  <si>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</si>
  <si>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</si>
  <si>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</si>
  <si>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</si>
  <si>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</si>
  <si>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</si>
  <si>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</si>
  <si>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</si>
  <si>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</si>
  <si>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</si>
  <si>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</si>
  <si>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</si>
  <si>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</si>
  <si>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</si>
  <si>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</si>
  <si>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</si>
  <si>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</si>
  <si>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</si>
  <si>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</si>
  <si>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</si>
  <si>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</si>
  <si>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</si>
  <si>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</si>
  <si>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</si>
  <si>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</si>
  <si>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</si>
  <si>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</si>
  <si>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</si>
  <si>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</si>
  <si>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</si>
  <si>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</si>
  <si>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</si>
  <si>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</si>
  <si>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</si>
  <si>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</si>
  <si>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</si>
  <si>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</si>
  <si>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</si>
  <si>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</si>
  <si>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</si>
  <si>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</si>
  <si>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</si>
  <si>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</si>
  <si>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</si>
  <si>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</si>
  <si>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</si>
  <si>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</si>
  <si>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</si>
  <si>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</si>
  <si>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</si>
  <si>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</si>
  <si>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</si>
  <si>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</si>
  <si>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</si>
  <si>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</si>
  <si>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</si>
  <si>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</si>
  <si>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</si>
  <si>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</si>
  <si>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</si>
  <si>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</si>
  <si>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</si>
  <si>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</si>
  <si>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</si>
  <si>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</si>
  <si>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</si>
  <si>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</si>
  <si>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</si>
  <si>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</si>
  <si>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</si>
  <si>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</si>
  <si>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</si>
  <si>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</si>
  <si>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</si>
  <si>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</si>
  <si>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</si>
  <si>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</si>
  <si>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</si>
  <si>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</si>
  <si>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</si>
  <si>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</si>
  <si>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</si>
  <si>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</si>
  <si>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</si>
  <si>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</si>
  <si>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</si>
  <si>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</si>
  <si>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</si>
  <si>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</si>
  <si>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</si>
  <si>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</si>
  <si>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</si>
  <si>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</si>
  <si>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</si>
  <si>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</si>
  <si>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</si>
  <si>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</si>
  <si>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</si>
  <si>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</si>
  <si>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</si>
  <si>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</si>
  <si>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</si>
  <si>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</si>
  <si>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</si>
  <si>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</si>
  <si>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</si>
  <si>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</si>
  <si>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</si>
  <si>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</si>
  <si>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</si>
  <si>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</si>
  <si>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</si>
  <si>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</si>
  <si>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</si>
  <si>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</si>
  <si>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</si>
  <si>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</si>
  <si>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</si>
  <si>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</si>
  <si>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</si>
  <si>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</si>
  <si>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</si>
  <si>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</si>
  <si>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</si>
  <si>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</si>
  <si>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</si>
  <si>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</si>
  <si>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</si>
  <si>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</si>
  <si>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</si>
  <si>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</si>
  <si>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</si>
  <si>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</si>
  <si>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</si>
  <si>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</si>
  <si>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</si>
  <si>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</si>
  <si>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</si>
  <si>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</si>
  <si>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</si>
  <si>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</si>
  <si>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</si>
  <si>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</si>
  <si>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</si>
  <si>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</si>
  <si>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</si>
  <si>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</si>
  <si>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</si>
  <si>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</si>
  <si>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</si>
  <si>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</si>
  <si>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</si>
  <si>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</si>
  <si>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</si>
  <si>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</si>
  <si>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</si>
  <si>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</si>
  <si>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</si>
  <si>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</si>
  <si>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</si>
  <si>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</si>
  <si>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</si>
  <si>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</si>
  <si>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</si>
  <si>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</si>
  <si>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</si>
  <si>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</si>
  <si>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</si>
  <si>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</si>
  <si>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</si>
  <si>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</si>
  <si>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</si>
  <si>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</si>
  <si>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</si>
  <si>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</si>
  <si>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</si>
  <si>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</si>
  <si>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</si>
  <si>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</si>
  <si>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</si>
  <si>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</si>
  <si>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</si>
  <si>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</si>
  <si>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</si>
  <si>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</si>
  <si>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</si>
  <si>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</si>
  <si>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</si>
  <si>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</si>
  <si>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</si>
  <si>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</si>
  <si>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</si>
  <si>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</si>
  <si>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</si>
  <si>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</si>
  <si>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</si>
  <si>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</si>
  <si>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</si>
  <si>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</si>
  <si>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</si>
  <si>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</si>
  <si>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</si>
  <si>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</si>
  <si>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</si>
  <si>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</si>
  <si>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</si>
  <si>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</si>
  <si>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</si>
  <si>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</si>
  <si>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</si>
  <si>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</si>
  <si>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</si>
  <si>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</si>
  <si>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</si>
  <si>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</si>
  <si>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</si>
  <si>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</si>
  <si>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</si>
  <si>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</si>
  <si>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</si>
  <si>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</si>
  <si>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</si>
  <si>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</si>
  <si>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</si>
  <si>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</si>
  <si>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</si>
  <si>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</si>
  <si>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</si>
  <si>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</si>
  <si>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</si>
  <si>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</si>
  <si>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</si>
  <si>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</si>
  <si>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</si>
  <si>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</si>
  <si>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</si>
  <si>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</si>
  <si>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</si>
  <si>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</si>
  <si>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</si>
  <si>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</si>
  <si>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</si>
  <si>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</si>
  <si>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</si>
  <si>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</si>
  <si>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</si>
  <si>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</si>
  <si>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</si>
  <si>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</si>
  <si>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</si>
  <si>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</si>
  <si>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</si>
  <si>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</si>
  <si>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</si>
  <si>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</si>
  <si>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</si>
  <si>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</si>
  <si>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</si>
  <si>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</si>
  <si>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</si>
  <si>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</si>
  <si>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</si>
  <si>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</si>
  <si>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</si>
  <si>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</si>
  <si>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</si>
  <si>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</si>
  <si>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</si>
  <si>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</si>
  <si>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</si>
  <si>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</si>
  <si>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</si>
  <si>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</si>
  <si>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</si>
  <si>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</si>
  <si>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</si>
  <si>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</si>
  <si>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</si>
  <si>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</si>
  <si>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</si>
  <si>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</si>
  <si>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</si>
  <si>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</si>
  <si>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</si>
  <si>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</si>
  <si>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</si>
  <si>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</si>
  <si>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</si>
  <si>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</si>
  <si>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</si>
  <si>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</si>
  <si>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</si>
  <si>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</si>
  <si>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</si>
  <si>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</si>
  <si>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</si>
  <si>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</si>
  <si>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</si>
  <si>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</si>
  <si>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</si>
  <si>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</si>
  <si>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</si>
  <si>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</si>
  <si>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</si>
  <si>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</si>
  <si>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</si>
  <si>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</si>
  <si>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</si>
  <si>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</si>
  <si>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</si>
  <si>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</si>
  <si>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</si>
  <si>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</si>
  <si>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</si>
  <si>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</si>
  <si>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</si>
  <si>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</si>
  <si>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</si>
  <si>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</si>
  <si>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</si>
  <si>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</si>
  <si>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</si>
  <si>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</si>
  <si>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</si>
  <si>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</si>
  <si>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</si>
  <si>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</si>
  <si>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</si>
  <si>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</si>
  <si>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</si>
  <si>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</si>
  <si>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</si>
  <si>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</si>
  <si>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</si>
  <si>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</si>
  <si>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</si>
  <si>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</si>
  <si>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</si>
  <si>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</si>
  <si>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</si>
  <si>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</si>
  <si>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</si>
  <si>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</si>
  <si>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</si>
  <si>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</si>
  <si>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</si>
  <si>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</si>
  <si>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</si>
  <si>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</si>
  <si>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</si>
  <si>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</si>
  <si>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</si>
  <si>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</si>
  <si>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</si>
  <si>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</si>
  <si>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</si>
  <si>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</si>
  <si>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</si>
  <si>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</si>
  <si>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</si>
  <si>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</si>
  <si>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</si>
  <si>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</si>
  <si>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</si>
  <si>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</si>
  <si>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</si>
  <si>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</si>
  <si>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</si>
  <si>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</si>
  <si>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</si>
  <si>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</si>
  <si>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</si>
  <si>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</si>
  <si>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</si>
  <si>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</si>
  <si>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</si>
  <si>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</si>
  <si>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</si>
  <si>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</si>
  <si>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</si>
  <si>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</si>
  <si>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</si>
  <si>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</si>
  <si>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</si>
  <si>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</si>
  <si>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</si>
  <si>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</si>
  <si>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</si>
  <si>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</si>
  <si>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</si>
  <si>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</si>
  <si>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</si>
  <si>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</si>
  <si>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</si>
  <si>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</si>
  <si>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</si>
  <si>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</si>
  <si>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</si>
  <si>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</si>
  <si>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</si>
  <si>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</si>
  <si>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</si>
  <si>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</si>
  <si>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</si>
  <si>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</si>
  <si>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</si>
  <si>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</si>
  <si>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</si>
  <si>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</si>
  <si>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</si>
  <si>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</si>
  <si>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</si>
  <si>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</si>
  <si>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</si>
  <si>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</si>
  <si>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</si>
  <si>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</si>
  <si>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</si>
  <si>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</si>
  <si>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</si>
  <si>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</si>
  <si>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</si>
  <si>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</si>
  <si>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</si>
  <si>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</si>
  <si>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</si>
  <si>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</si>
  <si>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</si>
  <si>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</si>
  <si>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</si>
  <si>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</si>
  <si>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</si>
  <si>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</si>
  <si>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</si>
  <si>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</si>
  <si>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</si>
  <si>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</si>
  <si>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</si>
  <si>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</si>
  <si>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</si>
  <si>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</si>
  <si>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</si>
  <si>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</si>
  <si>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</si>
  <si>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</si>
  <si>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</si>
  <si>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</si>
  <si>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</si>
  <si>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</si>
  <si>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</si>
  <si>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</si>
  <si>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</si>
  <si>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</si>
  <si>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</si>
  <si>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</si>
  <si>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</si>
  <si>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</si>
  <si>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</si>
  <si>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</si>
  <si>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</si>
  <si>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</si>
  <si>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</si>
  <si>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</si>
  <si>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</si>
  <si>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</si>
  <si>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</si>
  <si>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</si>
  <si>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</si>
  <si>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</si>
  <si>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</si>
  <si>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</si>
  <si>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</si>
  <si>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</si>
  <si>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</si>
  <si>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</si>
  <si>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</si>
  <si>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</si>
  <si>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</si>
  <si>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</si>
  <si>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</si>
  <si>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</si>
  <si>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</si>
  <si>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</si>
  <si>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</si>
  <si>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</si>
  <si>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</si>
  <si>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</si>
  <si>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</si>
  <si>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</si>
  <si>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</si>
  <si>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</si>
  <si>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</si>
  <si>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</si>
  <si>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</si>
  <si>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</si>
  <si>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</si>
  <si>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</si>
  <si>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</si>
  <si>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</si>
  <si>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</si>
  <si>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</si>
  <si>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</si>
  <si>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</si>
  <si>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</si>
  <si>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</si>
  <si>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</si>
  <si>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</si>
  <si>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</si>
  <si>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</si>
  <si>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</si>
  <si>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</si>
  <si>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</si>
  <si>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</si>
  <si>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</si>
  <si>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</si>
  <si>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</si>
  <si>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</si>
  <si>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</si>
  <si>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</si>
  <si>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</si>
  <si>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</si>
  <si>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</si>
  <si>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</si>
  <si>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</si>
  <si>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</si>
  <si>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</si>
  <si>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</si>
  <si>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</si>
  <si>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</si>
  <si>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</si>
  <si>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</si>
  <si>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</si>
  <si>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</si>
  <si>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</si>
  <si>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</si>
  <si>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</si>
  <si>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</si>
  <si>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</si>
  <si>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</si>
  <si>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</si>
  <si>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</si>
  <si>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</si>
  <si>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</si>
  <si>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</si>
  <si>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</si>
  <si>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</si>
  <si>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</si>
  <si>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</si>
  <si>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</si>
  <si>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</si>
  <si>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</si>
  <si>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</si>
  <si>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</si>
  <si>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</si>
  <si>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</si>
  <si>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</si>
  <si>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</si>
  <si>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</si>
  <si>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</si>
  <si>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</si>
  <si>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</si>
  <si>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</si>
  <si>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</si>
  <si>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</si>
  <si>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</si>
  <si>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</si>
  <si>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</si>
  <si>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</si>
  <si>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</si>
  <si>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</si>
  <si>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</si>
  <si>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</si>
  <si>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</si>
  <si>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</si>
  <si>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</si>
  <si>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</si>
  <si>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</si>
  <si>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</si>
  <si>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</si>
  <si>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</si>
  <si>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</si>
  <si>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</si>
  <si>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</si>
  <si>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</si>
  <si>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</si>
  <si>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</si>
  <si>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</si>
  <si>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</si>
  <si>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</si>
  <si>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</si>
  <si>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</si>
  <si>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</si>
  <si>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</si>
  <si>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</si>
  <si>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</si>
  <si>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</si>
  <si>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</si>
  <si>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</si>
  <si>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</si>
  <si>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</si>
  <si>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</si>
  <si>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</si>
  <si>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</si>
  <si>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</si>
  <si>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</si>
  <si>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</si>
  <si>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</si>
  <si>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</si>
  <si>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</si>
  <si>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</si>
  <si>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</si>
  <si>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</si>
  <si>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</si>
  <si>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</si>
  <si>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</si>
  <si>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</si>
  <si>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</si>
  <si>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</si>
  <si>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</si>
  <si>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</si>
  <si>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</si>
  <si>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</si>
  <si>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</si>
  <si>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</si>
  <si>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</si>
  <si>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</si>
  <si>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</si>
  <si>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</si>
  <si>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</si>
  <si>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</si>
  <si>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</si>
  <si>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</si>
  <si>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</si>
  <si>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</si>
  <si>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</si>
  <si>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</si>
  <si>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</si>
  <si>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</si>
  <si>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</si>
  <si>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</si>
  <si>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</si>
  <si>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</si>
  <si>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</si>
  <si>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</si>
  <si>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</si>
  <si>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</si>
  <si>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</si>
  <si>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</si>
  <si>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</si>
  <si>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</si>
  <si>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</si>
  <si>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</si>
  <si>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</si>
  <si>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</si>
  <si>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</si>
  <si>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</si>
  <si>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</si>
  <si>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</si>
  <si>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</si>
  <si>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</si>
  <si>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</si>
  <si>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</si>
  <si>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</si>
  <si>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</si>
  <si>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</si>
  <si>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</si>
  <si>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</si>
  <si>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</si>
  <si>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</si>
  <si>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</si>
  <si>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</si>
  <si>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</si>
  <si>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</si>
  <si>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</si>
  <si>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</si>
  <si>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</si>
  <si>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</si>
  <si>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</si>
  <si>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</si>
  <si>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</si>
  <si>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</si>
  <si>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</si>
  <si>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</si>
  <si>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</si>
  <si>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</si>
  <si>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</si>
  <si>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</si>
  <si>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</si>
  <si>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</si>
  <si>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</si>
  <si>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</si>
  <si>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</si>
  <si>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</si>
  <si>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</si>
  <si>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</si>
  <si>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</si>
  <si>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</si>
  <si>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</si>
  <si>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</si>
  <si>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</si>
  <si>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</si>
  <si>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</si>
  <si>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</si>
  <si>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</si>
  <si>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</si>
  <si>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</si>
  <si>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</si>
  <si>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</si>
  <si>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</si>
  <si>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</si>
  <si>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</si>
  <si>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</si>
  <si>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</si>
  <si>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</si>
  <si>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</si>
  <si>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</si>
  <si>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</si>
  <si>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</si>
  <si>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</si>
  <si>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</si>
  <si>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</si>
  <si>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</si>
  <si>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</si>
  <si>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</si>
  <si>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</si>
  <si>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</si>
  <si>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</si>
  <si>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</si>
  <si>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</si>
  <si>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</si>
  <si>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</si>
  <si>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</si>
  <si>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</si>
  <si>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</si>
  <si>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</si>
  <si>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</si>
  <si>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</si>
  <si>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</si>
  <si>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</si>
  <si>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</si>
  <si>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</si>
  <si>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</si>
  <si>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</si>
  <si>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</si>
  <si>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</si>
  <si>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</si>
  <si>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</si>
  <si>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</si>
  <si>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</si>
  <si>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</si>
  <si>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</si>
  <si>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</si>
  <si>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</si>
  <si>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</si>
  <si>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</si>
  <si>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</si>
  <si>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</si>
  <si>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</si>
  <si>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</si>
  <si>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</si>
  <si>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</si>
  <si>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</si>
  <si>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</si>
  <si>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</si>
  <si>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</si>
  <si>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</si>
  <si>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</si>
  <si>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</si>
  <si>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</si>
  <si>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</si>
  <si>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</si>
  <si>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</si>
  <si>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</si>
  <si>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</si>
  <si>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</si>
  <si>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</si>
  <si>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</si>
  <si>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</si>
  <si>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</si>
  <si>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</si>
  <si>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</si>
  <si>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</si>
  <si>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</si>
  <si>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</si>
  <si>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</si>
  <si>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</si>
  <si>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</si>
  <si>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</si>
  <si>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</si>
  <si>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</si>
  <si>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</si>
  <si>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</si>
  <si>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</si>
  <si>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</si>
  <si>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</si>
  <si>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</si>
  <si>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</si>
  <si>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</si>
  <si>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</si>
  <si>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</si>
  <si>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</si>
  <si>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</si>
  <si>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</si>
  <si>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</si>
  <si>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</si>
  <si>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</si>
  <si>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</si>
  <si>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</si>
  <si>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</si>
  <si>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</si>
  <si>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</si>
  <si>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</si>
  <si>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</si>
  <si>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</si>
  <si>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</si>
  <si>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</si>
  <si>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</si>
  <si>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</si>
  <si>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</si>
  <si>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</si>
  <si>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</si>
  <si>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</si>
  <si>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</si>
  <si>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</si>
  <si>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</si>
  <si>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</si>
  <si>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</si>
  <si>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</si>
  <si>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</si>
  <si>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</si>
  <si>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</si>
  <si>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</si>
  <si>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</si>
  <si>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</si>
  <si>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</si>
  <si>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</si>
  <si>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</si>
  <si>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</si>
  <si>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</si>
  <si>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</si>
  <si>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</si>
  <si>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</si>
  <si>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</si>
  <si>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</si>
  <si>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</si>
  <si>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</si>
  <si>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</si>
  <si>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</si>
  <si>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</si>
  <si>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</si>
  <si>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</si>
  <si>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</si>
  <si>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</si>
  <si>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</si>
  <si>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</si>
  <si>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</si>
  <si>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</si>
  <si>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</si>
  <si>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</si>
  <si>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</si>
  <si>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</si>
  <si>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</si>
  <si>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</si>
  <si>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</si>
  <si>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</si>
  <si>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</si>
  <si>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</si>
  <si>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</si>
  <si>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</si>
  <si>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</si>
  <si>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</si>
  <si>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</si>
  <si>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</si>
  <si>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</si>
  <si>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</si>
  <si>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</si>
  <si>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</si>
  <si>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</si>
  <si>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</si>
  <si>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</si>
  <si>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</si>
  <si>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</si>
  <si>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</si>
  <si>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</si>
  <si>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</si>
  <si>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</si>
  <si>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</si>
  <si>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</si>
  <si>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</si>
  <si>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</si>
  <si>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</si>
  <si>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</si>
  <si>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</si>
  <si>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</si>
  <si>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</si>
  <si>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</si>
  <si>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</si>
  <si>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</si>
  <si>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</si>
  <si>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</si>
  <si>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</si>
  <si>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</si>
  <si>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</si>
  <si>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</si>
  <si>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</si>
  <si>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</si>
  <si>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</si>
  <si>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</si>
  <si>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</si>
  <si>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</si>
  <si>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</si>
  <si>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</si>
  <si>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</si>
  <si>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</si>
  <si>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</si>
  <si>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</si>
  <si>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</si>
  <si>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</si>
  <si>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</si>
  <si>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</si>
  <si>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</si>
  <si>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</si>
  <si>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</si>
  <si>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</si>
  <si>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</si>
  <si>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</si>
  <si>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</si>
  <si>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</si>
  <si>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</si>
  <si>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</si>
  <si>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</si>
  <si>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</si>
  <si>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</si>
  <si>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</si>
  <si>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</si>
  <si>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</si>
  <si>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</si>
  <si>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</si>
  <si>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</si>
  <si>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</si>
  <si>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</si>
  <si>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</si>
  <si>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</si>
  <si>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</si>
  <si>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</si>
  <si>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</si>
  <si>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</si>
  <si>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</si>
  <si>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</si>
  <si>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</si>
  <si>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</si>
  <si>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</si>
  <si>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</si>
  <si>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</si>
  <si>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</si>
  <si>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</si>
  <si>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</si>
  <si>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</si>
  <si>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</si>
  <si>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</si>
  <si>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</si>
  <si>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</si>
  <si>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</si>
  <si>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</si>
  <si>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</si>
  <si>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</si>
  <si>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</si>
  <si>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</si>
  <si>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</si>
  <si>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</si>
  <si>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</si>
  <si>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</si>
  <si>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</si>
  <si>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</si>
  <si>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</si>
  <si>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</si>
  <si>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</si>
  <si>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</si>
  <si>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</si>
  <si>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</si>
  <si>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</si>
  <si>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</si>
  <si>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</si>
  <si>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</si>
  <si>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</si>
  <si>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</si>
  <si>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</si>
  <si>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</si>
  <si>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</si>
  <si>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</si>
  <si>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</si>
  <si>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</si>
  <si>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</si>
  <si>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</si>
  <si>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</si>
  <si>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</si>
  <si>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</si>
  <si>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</si>
  <si>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</si>
  <si>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</si>
  <si>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</si>
  <si>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</si>
  <si>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</si>
  <si>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</si>
  <si>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</si>
  <si>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</si>
  <si>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</si>
  <si>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</si>
  <si>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</si>
  <si>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</si>
  <si>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</si>
  <si>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</si>
  <si>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</si>
  <si>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</si>
  <si>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</si>
  <si>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</si>
  <si>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</si>
  <si>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</si>
  <si>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</si>
  <si>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</si>
  <si>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</si>
  <si>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</si>
  <si>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</si>
  <si>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</si>
  <si>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</si>
  <si>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</si>
  <si>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</si>
  <si>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</si>
  <si>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</si>
  <si>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</si>
  <si>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</si>
  <si>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</si>
  <si>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</si>
  <si>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</si>
  <si>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</si>
  <si>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</si>
  <si>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</si>
  <si>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</si>
  <si>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</si>
  <si>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</si>
  <si>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</si>
  <si>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</si>
  <si>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</si>
  <si>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</si>
  <si>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</si>
  <si>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</si>
  <si>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</si>
  <si>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</si>
  <si>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</si>
  <si>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</si>
  <si>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</si>
  <si>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</si>
  <si>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</si>
  <si>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</si>
  <si>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</si>
  <si>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</si>
  <si>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</si>
  <si>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</si>
  <si>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</si>
  <si>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</si>
  <si>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</si>
  <si>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</si>
  <si>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</si>
  <si>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</si>
  <si>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</si>
  <si>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</si>
  <si>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</si>
  <si>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</si>
  <si>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</si>
  <si>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</si>
  <si>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</si>
  <si>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</si>
  <si>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</si>
  <si>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</si>
  <si>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</si>
  <si>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</si>
  <si>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</si>
  <si>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</si>
  <si>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</si>
  <si>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</si>
  <si>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</si>
  <si>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</si>
  <si>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</si>
  <si>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</si>
  <si>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</si>
  <si>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</si>
  <si>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</si>
  <si>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</si>
  <si>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</si>
  <si>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</si>
  <si>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</si>
  <si>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</si>
  <si>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</si>
  <si>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</si>
  <si>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</si>
  <si>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</si>
  <si>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</si>
  <si>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</si>
  <si>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</si>
  <si>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</si>
  <si>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</si>
  <si>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</si>
  <si>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</si>
  <si>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</si>
  <si>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</si>
  <si>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</si>
  <si>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</si>
  <si>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</si>
  <si>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</si>
  <si>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</si>
  <si>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</si>
  <si>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</si>
  <si>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</si>
  <si>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</si>
  <si>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</si>
  <si>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</si>
  <si>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</si>
  <si>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</si>
  <si>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</si>
  <si>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</si>
  <si>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</si>
  <si>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</si>
  <si>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</si>
  <si>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</si>
  <si>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</si>
  <si>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</si>
  <si>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</si>
  <si>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</si>
  <si>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</si>
  <si>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</si>
  <si>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</si>
  <si>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</si>
  <si>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</si>
  <si>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</si>
  <si>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</si>
  <si>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</si>
  <si>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</si>
  <si>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</si>
  <si>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</si>
  <si>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</si>
  <si>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</si>
  <si>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</si>
  <si>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</si>
  <si>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</si>
  <si>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</si>
  <si>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</si>
  <si>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</si>
  <si>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</si>
  <si>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</si>
  <si>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</si>
  <si>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</si>
  <si>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</si>
  <si>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</si>
  <si>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</si>
  <si>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</si>
  <si>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</si>
  <si>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</si>
  <si>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</si>
  <si>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</si>
  <si>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</si>
  <si>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</si>
  <si>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</si>
  <si>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</si>
  <si>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</si>
  <si>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</si>
  <si>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</si>
  <si>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</si>
  <si>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</si>
  <si>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</si>
  <si>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</si>
  <si>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</si>
  <si>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</si>
  <si>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</si>
  <si>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</si>
  <si>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</si>
  <si>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</si>
  <si>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</si>
  <si>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</si>
  <si>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</si>
  <si>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</si>
  <si>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</si>
  <si>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</si>
  <si>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</si>
  <si>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</si>
  <si>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</si>
  <si>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</si>
  <si>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</si>
  <si>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</si>
  <si>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</si>
  <si>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</si>
  <si>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</si>
  <si>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</si>
  <si>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</si>
  <si>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</si>
  <si>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</si>
  <si>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</si>
  <si>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</si>
  <si>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</si>
  <si>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</si>
  <si>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</si>
  <si>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</si>
  <si>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</si>
  <si>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</si>
  <si>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</si>
  <si>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</si>
  <si>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</si>
  <si>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</si>
  <si>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</si>
  <si>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</si>
  <si>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</si>
  <si>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</si>
  <si>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</si>
  <si>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</si>
  <si>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</si>
  <si>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</si>
  <si>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</si>
  <si>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</si>
  <si>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</si>
  <si>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</si>
  <si>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</si>
  <si>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</si>
  <si>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</si>
  <si>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</si>
  <si>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</si>
  <si>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</si>
  <si>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</si>
  <si>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</si>
  <si>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</si>
  <si>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</si>
  <si>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</si>
  <si>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</si>
  <si>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</si>
  <si>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</si>
  <si>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</si>
  <si>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</si>
  <si>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</si>
  <si>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</si>
  <si>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</si>
  <si>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</si>
  <si>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</si>
  <si>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</si>
  <si>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</si>
  <si>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</si>
  <si>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</si>
  <si>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</si>
  <si>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</si>
  <si>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</si>
  <si>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</si>
  <si>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</si>
  <si>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</si>
  <si>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</si>
  <si>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</si>
  <si>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</si>
  <si>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</si>
  <si>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</si>
  <si>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</si>
  <si>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</si>
  <si>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</si>
  <si>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</si>
  <si>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</si>
  <si>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</si>
  <si>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</si>
  <si>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</si>
  <si>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</si>
  <si>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</si>
  <si>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</si>
  <si>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</si>
  <si>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</si>
  <si>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</si>
  <si>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</si>
  <si>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</si>
  <si>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</si>
  <si>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</si>
  <si>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</si>
  <si>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</si>
  <si>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</si>
  <si>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</si>
  <si>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</si>
  <si>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</si>
  <si>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</si>
  <si>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</si>
  <si>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</si>
  <si>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</si>
  <si>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</si>
  <si>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</si>
  <si>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</si>
  <si>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</si>
  <si>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</si>
  <si>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</si>
  <si>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</si>
  <si>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</si>
  <si>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</si>
  <si>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</si>
  <si>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</si>
  <si>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</si>
  <si>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</si>
  <si>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</si>
  <si>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</si>
  <si>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</si>
  <si>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</si>
  <si>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</si>
  <si>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</si>
  <si>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</si>
  <si>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</si>
  <si>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</si>
  <si>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</si>
  <si>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</si>
  <si>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</si>
  <si>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</si>
  <si>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</si>
  <si>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</si>
  <si>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</si>
  <si>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</si>
  <si>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</si>
  <si>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</si>
  <si>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</si>
  <si>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</si>
  <si>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</si>
  <si>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</si>
  <si>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</si>
  <si>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</si>
  <si>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</si>
  <si>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</si>
  <si>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</si>
  <si>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</si>
  <si>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</si>
  <si>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</si>
  <si>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</si>
  <si>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</si>
  <si>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</si>
  <si>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</si>
  <si>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</si>
  <si>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</si>
  <si>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</si>
  <si>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</si>
  <si>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</si>
  <si>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</si>
  <si>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</si>
  <si>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</si>
  <si>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</si>
  <si>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</si>
  <si>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</si>
  <si>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</si>
  <si>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</si>
  <si>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</si>
  <si>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</si>
  <si>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</si>
  <si>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</si>
  <si>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</si>
  <si>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</si>
  <si>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</si>
  <si>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</si>
  <si>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</si>
  <si>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</si>
  <si>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</si>
  <si>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</si>
  <si>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</si>
  <si>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</si>
  <si>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</si>
  <si>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</si>
  <si>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</si>
  <si>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</si>
  <si>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</si>
  <si>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</si>
  <si>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</si>
  <si>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</si>
  <si>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</si>
  <si>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</si>
  <si>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</si>
  <si>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</si>
  <si>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</si>
  <si>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</si>
  <si>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</si>
  <si>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</si>
  <si>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</si>
  <si>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</si>
  <si>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</si>
  <si>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</si>
  <si>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</si>
  <si>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</si>
  <si>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</si>
  <si>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</si>
  <si>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</si>
  <si>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</si>
  <si>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</si>
  <si>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</si>
  <si>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</si>
  <si>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</si>
  <si>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</si>
  <si>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</si>
  <si>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</si>
  <si>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</si>
  <si>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</si>
  <si>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</si>
  <si>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</si>
  <si>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</si>
  <si>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</si>
  <si>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</si>
  <si>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</si>
  <si>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</si>
  <si>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</si>
  <si>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</si>
  <si>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</si>
  <si>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</si>
  <si>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</si>
  <si>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</si>
  <si>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</si>
  <si>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</si>
  <si>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</si>
  <si>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</si>
  <si>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</si>
  <si>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</si>
  <si>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</si>
  <si>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</si>
  <si>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</si>
  <si>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</si>
  <si>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</si>
  <si>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</si>
  <si>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</si>
  <si>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</si>
  <si>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</si>
  <si>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</si>
  <si>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</si>
  <si>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</si>
  <si>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</si>
  <si>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</si>
  <si>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</si>
  <si>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</si>
  <si>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</si>
  <si>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</si>
  <si>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</si>
  <si>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</si>
  <si>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</si>
  <si>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</si>
  <si>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</si>
  <si>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</si>
  <si>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</si>
  <si>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</si>
  <si>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</si>
  <si>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</si>
  <si>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</si>
  <si>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</si>
  <si>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</si>
  <si>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</si>
  <si>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</si>
  <si>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</si>
  <si>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</si>
  <si>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</si>
  <si>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</si>
  <si>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</si>
  <si>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</si>
  <si>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</si>
  <si>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</si>
  <si>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</si>
  <si>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</si>
  <si>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</si>
  <si>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</si>
  <si>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</si>
  <si>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</si>
  <si>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</si>
  <si>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</si>
  <si>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</si>
  <si>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</si>
  <si>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</si>
  <si>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</si>
  <si>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</si>
  <si>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</si>
  <si>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</si>
  <si>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</si>
  <si>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</si>
  <si>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</si>
  <si>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</si>
  <si>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</si>
  <si>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</si>
  <si>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</si>
  <si>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</si>
  <si>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</si>
  <si>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</si>
  <si>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</si>
  <si>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</si>
  <si>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</si>
  <si>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</si>
  <si>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</si>
  <si>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</si>
  <si>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</si>
  <si>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</si>
  <si>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</si>
  <si>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</si>
  <si>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</si>
  <si>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</si>
  <si>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</si>
  <si>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</si>
  <si>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</si>
  <si>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</si>
  <si>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</si>
  <si>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</si>
  <si>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</si>
  <si>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</si>
  <si>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</si>
  <si>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</si>
  <si>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</si>
  <si>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</si>
  <si>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</si>
  <si>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</si>
  <si>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</si>
  <si>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</si>
  <si>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</si>
  <si>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</si>
  <si>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</si>
  <si>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</si>
  <si>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</si>
  <si>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</si>
  <si>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</si>
  <si>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</si>
  <si>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</si>
  <si>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</si>
  <si>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</si>
  <si>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</si>
  <si>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</si>
  <si>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</si>
  <si>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</si>
  <si>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</si>
  <si>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</si>
  <si>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</si>
  <si>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</si>
  <si>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</si>
  <si>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</si>
  <si>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</si>
  <si>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</si>
  <si>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</si>
  <si>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</si>
  <si>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</si>
  <si>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</si>
  <si>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</si>
  <si>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</si>
  <si>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</si>
  <si>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</si>
  <si>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</si>
  <si>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</si>
  <si>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</si>
  <si>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</si>
  <si>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</si>
  <si>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</si>
  <si>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</si>
  <si>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</si>
  <si>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</si>
  <si>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</si>
  <si>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</si>
  <si>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</si>
  <si>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</si>
  <si>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</si>
  <si>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</si>
  <si>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</si>
  <si>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</si>
  <si>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</si>
  <si>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</si>
  <si>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</si>
  <si>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</si>
  <si>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</si>
  <si>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</si>
  <si>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</si>
  <si>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</si>
  <si>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</si>
  <si>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</si>
  <si>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</si>
  <si>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</si>
  <si>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</si>
  <si>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</si>
  <si>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</si>
  <si>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</si>
  <si>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</si>
  <si>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</si>
  <si>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</si>
  <si>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</si>
  <si>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</si>
  <si>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</si>
  <si>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</si>
  <si>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</si>
  <si>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</si>
  <si>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</si>
  <si>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</si>
  <si>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</si>
  <si>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</si>
  <si>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</si>
  <si>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</si>
  <si>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</si>
  <si>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</si>
  <si>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</si>
  <si>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</si>
  <si>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</si>
  <si>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</si>
  <si>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</si>
  <si>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</si>
  <si>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</si>
  <si>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</si>
  <si>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</si>
  <si>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</si>
  <si>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</si>
  <si>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</si>
  <si>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</si>
  <si>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</si>
  <si>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</si>
  <si>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</si>
  <si>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</si>
  <si>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</si>
  <si>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</si>
  <si>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</si>
  <si>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</si>
  <si>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</si>
  <si>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</si>
  <si>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</si>
  <si>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</si>
  <si>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</si>
  <si>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</si>
  <si>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</si>
  <si>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</si>
  <si>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</si>
  <si>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</si>
  <si>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</si>
  <si>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</si>
  <si>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</si>
  <si>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</si>
  <si>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</si>
  <si>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</si>
  <si>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</si>
  <si>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</si>
  <si>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</si>
  <si>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</si>
  <si>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</si>
  <si>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</si>
  <si>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</si>
  <si>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</si>
  <si>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</si>
  <si>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</si>
  <si>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</si>
  <si>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</si>
  <si>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</si>
  <si>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</si>
  <si>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</si>
  <si>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</si>
  <si>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</si>
  <si>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</si>
  <si>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</si>
  <si>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</si>
  <si>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</si>
  <si>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</si>
  <si>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</si>
  <si>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</si>
  <si>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</si>
  <si>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</si>
  <si>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</si>
  <si>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</si>
  <si>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</si>
  <si>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</si>
  <si>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</si>
  <si>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</si>
  <si>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</si>
  <si>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</si>
  <si>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</si>
  <si>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</si>
  <si>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</si>
  <si>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</si>
  <si>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</si>
  <si>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</si>
  <si>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</si>
  <si>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</si>
  <si>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</si>
  <si>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</si>
  <si>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</si>
  <si>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</si>
  <si>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</si>
  <si>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</si>
  <si>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</si>
  <si>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</si>
  <si>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</si>
  <si>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</si>
  <si>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</si>
  <si>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</si>
  <si>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</si>
  <si>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</si>
  <si>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</si>
  <si>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</si>
  <si>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</si>
  <si>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</si>
  <si>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</si>
  <si>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</si>
  <si>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</si>
  <si>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</si>
  <si>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</si>
  <si>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</si>
  <si>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</si>
  <si>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</si>
  <si>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</si>
  <si>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</si>
  <si>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</si>
  <si>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</si>
  <si>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</si>
  <si>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</si>
  <si>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</si>
  <si>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</si>
  <si>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</si>
  <si>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</si>
  <si>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</si>
  <si>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</si>
  <si>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</si>
  <si>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</si>
  <si>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</si>
  <si>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</si>
  <si>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</si>
  <si>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</si>
  <si>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</si>
  <si>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</si>
  <si>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</si>
  <si>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</si>
  <si>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</si>
  <si>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</si>
  <si>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</si>
  <si>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</si>
  <si>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</si>
  <si>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</si>
  <si>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</si>
  <si>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</si>
  <si>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</si>
  <si>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</si>
  <si>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</si>
  <si>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</si>
  <si>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</si>
  <si>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</si>
  <si>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</si>
  <si>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</si>
  <si>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</si>
  <si>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</si>
  <si>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</si>
  <si>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</si>
  <si>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</si>
  <si>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</si>
  <si>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</si>
  <si>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</si>
  <si>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</si>
  <si>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</si>
  <si>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</si>
  <si>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</si>
  <si>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</si>
  <si>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</si>
  <si>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</si>
  <si>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</si>
  <si>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</si>
  <si>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</si>
  <si>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</si>
  <si>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</si>
  <si>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</si>
  <si>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</si>
  <si>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</si>
  <si>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</si>
  <si>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</si>
  <si>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</si>
  <si>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</si>
  <si>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</si>
  <si>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</si>
  <si>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</si>
  <si>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</si>
  <si>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</si>
  <si>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</si>
  <si>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</si>
  <si>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</si>
  <si>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</si>
  <si>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</si>
  <si>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</si>
  <si>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</si>
  <si>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</si>
  <si>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</si>
  <si>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</si>
  <si>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</si>
  <si>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</si>
  <si>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</si>
  <si>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</si>
  <si>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</si>
  <si>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</si>
  <si>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</si>
  <si>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</si>
  <si>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</si>
  <si>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</si>
  <si>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</si>
  <si>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</si>
  <si>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</si>
  <si>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</si>
  <si>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</si>
  <si>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</si>
  <si>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</si>
  <si>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</si>
  <si>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</si>
  <si>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</si>
  <si>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</si>
  <si>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</si>
  <si>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</si>
  <si>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</si>
  <si>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</si>
  <si>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</si>
  <si>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</si>
  <si>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</si>
  <si>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</si>
  <si>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</si>
  <si>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</si>
  <si>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</si>
  <si>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</si>
  <si>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</si>
  <si>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</si>
  <si>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</si>
  <si>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</si>
  <si>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</si>
  <si>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</si>
  <si>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</si>
  <si>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</si>
  <si>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</si>
  <si>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</si>
  <si>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</si>
  <si>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</si>
  <si>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</si>
  <si>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</si>
  <si>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</si>
  <si>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</si>
  <si>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</si>
  <si>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</si>
  <si>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</si>
  <si>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</si>
  <si>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</si>
  <si>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</si>
  <si>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</si>
  <si>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</si>
  <si>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</si>
  <si>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</si>
  <si>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</si>
  <si>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</si>
  <si>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</si>
  <si>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</si>
  <si>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</si>
  <si>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</si>
  <si>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</si>
  <si>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</si>
  <si>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</si>
  <si>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</si>
  <si>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</si>
  <si>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</si>
  <si>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</si>
  <si>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</si>
  <si>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</si>
  <si>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</si>
  <si>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</si>
  <si>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</si>
  <si>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</si>
  <si>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</si>
  <si>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</si>
  <si>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</si>
  <si>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</si>
  <si>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</si>
  <si>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</si>
  <si>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</si>
  <si>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</si>
  <si>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</si>
  <si>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</si>
  <si>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</si>
  <si>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</si>
  <si>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</si>
  <si>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</si>
  <si>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</si>
  <si>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</si>
  <si>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</si>
  <si>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</si>
  <si>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</si>
  <si>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</si>
  <si>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</si>
  <si>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</si>
  <si>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</si>
  <si>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</si>
  <si>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</si>
  <si>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</si>
  <si>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</si>
  <si>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</si>
  <si>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</si>
  <si>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</si>
  <si>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</si>
  <si>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</si>
  <si>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</si>
  <si>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</si>
  <si>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</si>
  <si>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</si>
  <si>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</si>
  <si>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</si>
  <si>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</si>
  <si>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</si>
  <si>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</si>
  <si>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</si>
  <si>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</si>
  <si>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</si>
  <si>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</si>
  <si>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</si>
  <si>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</si>
  <si>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</si>
  <si>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</si>
  <si>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</si>
  <si>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</si>
  <si>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</si>
  <si>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</si>
  <si>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</si>
  <si>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</si>
  <si>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</si>
  <si>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</si>
  <si>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</si>
  <si>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</si>
  <si>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</si>
  <si>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</si>
  <si>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</si>
  <si>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</si>
  <si>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</si>
  <si>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</si>
  <si>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</si>
  <si>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</si>
  <si>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</si>
  <si>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</si>
  <si>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</si>
  <si>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</si>
  <si>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</si>
  <si>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</si>
  <si>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</si>
  <si>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</si>
  <si>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</si>
  <si>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</si>
  <si>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</si>
  <si>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</si>
  <si>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</si>
  <si>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</si>
  <si>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</si>
  <si>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</si>
  <si>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</si>
  <si>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</si>
  <si>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</si>
  <si>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</si>
  <si>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</si>
  <si>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</si>
  <si>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</si>
  <si>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</si>
  <si>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</si>
  <si>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</si>
  <si>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</si>
  <si>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</si>
  <si>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</si>
  <si>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</si>
  <si>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</si>
  <si>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</si>
  <si>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</si>
  <si>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</si>
  <si>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</si>
  <si>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</si>
  <si>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</si>
  <si>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</si>
  <si>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</si>
  <si>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</si>
  <si>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</si>
  <si>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</si>
  <si>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</si>
  <si>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</si>
  <si>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</si>
  <si>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</si>
  <si>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</si>
  <si>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</si>
  <si>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</si>
  <si>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</si>
  <si>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</si>
  <si>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</si>
  <si>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</si>
  <si>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</si>
  <si>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</si>
  <si>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</si>
  <si>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</si>
  <si>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</si>
  <si>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</si>
  <si>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</si>
  <si>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</si>
  <si>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</si>
  <si>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</si>
  <si>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</si>
  <si>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</si>
  <si>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</si>
  <si>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</si>
  <si>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</si>
  <si>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</si>
  <si>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</si>
  <si>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</si>
  <si>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</si>
  <si>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</si>
  <si>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</si>
  <si>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</si>
  <si>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</si>
  <si>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</si>
  <si>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</si>
  <si>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</si>
  <si>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</si>
  <si>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</si>
  <si>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</si>
  <si>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</si>
  <si>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</si>
  <si>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</si>
  <si>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</si>
  <si>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</si>
  <si>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</si>
  <si>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</si>
  <si>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</si>
  <si>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</si>
  <si>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</si>
  <si>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</si>
  <si>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</si>
  <si>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</si>
  <si>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</si>
  <si>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</si>
  <si>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</si>
  <si>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</si>
  <si>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</si>
  <si>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</si>
  <si>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</si>
  <si>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</si>
  <si>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</si>
  <si>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</si>
  <si>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</si>
  <si>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</si>
  <si>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</si>
  <si>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</si>
  <si>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</si>
  <si>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</si>
  <si>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</si>
  <si>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</si>
  <si>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</si>
  <si>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</si>
  <si>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</si>
  <si>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</si>
  <si>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</si>
  <si>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</si>
  <si>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</si>
  <si>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</si>
  <si>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</si>
  <si>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</si>
  <si>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</si>
  <si>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</si>
  <si>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</si>
  <si>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</si>
  <si>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</si>
  <si>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</si>
  <si>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</si>
  <si>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</si>
  <si>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</si>
  <si>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</si>
  <si>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</si>
  <si>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</si>
  <si>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</si>
  <si>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</si>
  <si>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</si>
  <si>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</si>
  <si>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</si>
  <si>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</si>
  <si>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</si>
  <si>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</si>
  <si>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</si>
  <si>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</si>
  <si>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</si>
  <si>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</si>
  <si>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</si>
  <si>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</si>
  <si>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</si>
  <si>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</si>
  <si>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</si>
  <si>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</si>
  <si>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</si>
  <si>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</si>
  <si>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</si>
  <si>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</si>
  <si>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</si>
  <si>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</si>
  <si>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</si>
  <si>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</si>
  <si>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</si>
  <si>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</si>
  <si>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</si>
  <si>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</si>
  <si>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</si>
  <si>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</si>
  <si>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</si>
  <si>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</si>
  <si>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</si>
  <si>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</si>
  <si>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</si>
  <si>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</si>
  <si>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</si>
  <si>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</si>
  <si>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</si>
  <si>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</si>
  <si>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</si>
  <si>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</si>
  <si>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</si>
  <si>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</si>
  <si>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</si>
  <si>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</si>
  <si>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</si>
  <si>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</si>
  <si>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</si>
  <si>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</si>
  <si>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</si>
  <si>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</si>
  <si>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</si>
  <si>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</si>
  <si>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</si>
  <si>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</si>
  <si>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</si>
  <si>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</si>
  <si>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</si>
  <si>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</si>
  <si>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</si>
  <si>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</si>
  <si>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</si>
  <si>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</si>
  <si>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</si>
  <si>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</si>
  <si>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</si>
  <si>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</si>
  <si>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</si>
  <si>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</si>
  <si>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</si>
  <si>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</si>
  <si>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</si>
  <si>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</si>
  <si>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</si>
  <si>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</si>
  <si>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</si>
  <si>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</si>
  <si>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</si>
  <si>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</si>
  <si>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</si>
  <si>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</si>
  <si>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</si>
  <si>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</si>
  <si>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</si>
  <si>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</si>
  <si>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</si>
  <si>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</si>
  <si>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</si>
  <si>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</si>
  <si>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</si>
  <si>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</si>
  <si>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</si>
  <si>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</si>
  <si>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</si>
  <si>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</si>
  <si>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</si>
  <si>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</si>
  <si>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</si>
  <si>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</si>
  <si>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</si>
  <si>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</si>
  <si>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</si>
  <si>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</si>
  <si>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</si>
  <si>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</si>
  <si>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</si>
  <si>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</si>
  <si>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</si>
  <si>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</si>
  <si>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</si>
  <si>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</si>
  <si>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</si>
  <si>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</si>
  <si>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</si>
  <si>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</si>
  <si>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</si>
  <si>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</si>
  <si>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</si>
  <si>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</si>
  <si>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</si>
  <si>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</si>
  <si>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</si>
  <si>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</si>
  <si>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</si>
  <si>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</si>
  <si>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</si>
  <si>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</si>
  <si>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</si>
  <si>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</si>
  <si>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</si>
  <si>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</si>
  <si>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</si>
  <si>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</si>
  <si>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</si>
  <si>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</si>
  <si>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</si>
  <si>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</si>
  <si>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</si>
  <si>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</si>
  <si>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</si>
  <si>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</si>
  <si>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</si>
  <si>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</si>
  <si>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</si>
  <si>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</si>
  <si>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</si>
  <si>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</si>
  <si>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</si>
  <si>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</si>
  <si>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</si>
  <si>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</si>
  <si>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</si>
  <si>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</si>
  <si>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</si>
  <si>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</si>
  <si>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</si>
  <si>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</si>
  <si>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</si>
  <si>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</si>
  <si>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</si>
  <si>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</si>
  <si>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</si>
  <si>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</si>
  <si>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</si>
  <si>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</si>
  <si>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</si>
  <si>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</si>
  <si>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</si>
  <si>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</si>
  <si>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</si>
  <si>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</si>
  <si>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</si>
  <si>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</si>
  <si>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</si>
  <si>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</si>
  <si>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</si>
  <si>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</si>
  <si>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</si>
  <si>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</si>
  <si>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</si>
  <si>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</si>
  <si>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</si>
  <si>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</si>
  <si>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</si>
  <si>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</si>
  <si>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</si>
  <si>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</si>
  <si>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</si>
  <si>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</si>
  <si>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</si>
  <si>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</si>
  <si>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</si>
  <si>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</si>
  <si>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</si>
  <si>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</si>
  <si>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</si>
  <si>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</si>
  <si>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</si>
  <si>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</si>
  <si>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</si>
  <si>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</si>
  <si>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</si>
  <si>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</si>
  <si>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</si>
  <si>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</si>
  <si>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</si>
  <si>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</si>
  <si>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</si>
  <si>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</si>
  <si>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</si>
  <si>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</si>
  <si>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</si>
  <si>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</si>
  <si>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</si>
  <si>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</si>
  <si>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</si>
  <si>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</si>
  <si>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</si>
  <si>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</si>
  <si>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</si>
  <si>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</si>
  <si>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</si>
  <si>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</si>
  <si>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</si>
  <si>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</si>
  <si>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</si>
  <si>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</si>
  <si>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</si>
  <si>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</si>
  <si>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</si>
  <si>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</si>
  <si>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</si>
  <si>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</si>
  <si>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</si>
  <si>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</si>
  <si>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</si>
  <si>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</si>
  <si>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</si>
  <si>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</si>
  <si>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</si>
  <si>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</si>
  <si>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</si>
  <si>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</si>
  <si>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</si>
  <si>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</si>
  <si>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</si>
  <si>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</si>
  <si>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</si>
  <si>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</si>
  <si>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</si>
  <si>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</si>
  <si>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</si>
  <si>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</si>
  <si>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</si>
  <si>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</si>
  <si>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</si>
  <si>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</si>
  <si>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</si>
  <si>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</si>
  <si>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</si>
  <si>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</si>
  <si>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</si>
  <si>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</si>
  <si>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</si>
  <si>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</si>
  <si>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</si>
  <si>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</si>
  <si>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</si>
  <si>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</si>
  <si>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</si>
  <si>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</si>
  <si>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</si>
  <si>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</si>
  <si>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</si>
  <si>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</si>
  <si>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</si>
  <si>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</si>
  <si>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</si>
  <si>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</si>
  <si>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</si>
  <si>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</si>
  <si>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</si>
  <si>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</si>
  <si>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</si>
  <si>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</si>
  <si>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</si>
  <si>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</si>
  <si>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</si>
  <si>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</si>
  <si>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</si>
  <si>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</si>
  <si>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</si>
  <si>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</si>
  <si>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</si>
  <si>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</si>
  <si>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</si>
  <si>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</si>
  <si>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</si>
  <si>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</si>
  <si>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</si>
  <si>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</si>
  <si>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</si>
  <si>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</si>
  <si>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</si>
  <si>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</si>
  <si>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</si>
  <si>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</si>
  <si>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</si>
  <si>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</si>
  <si>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</si>
  <si>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</si>
  <si>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</si>
  <si>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</si>
  <si>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</si>
  <si>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</si>
  <si>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</si>
  <si>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</si>
  <si>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</si>
  <si>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</si>
  <si>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</si>
  <si>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</si>
  <si>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</si>
  <si>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</si>
  <si>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</si>
  <si>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</si>
  <si>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</si>
  <si>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</si>
  <si>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</si>
  <si>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</si>
  <si>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</si>
  <si>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</si>
  <si>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</si>
  <si>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</si>
  <si>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</si>
  <si>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</si>
  <si>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</si>
  <si>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</si>
  <si>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</si>
  <si>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</si>
  <si>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</si>
  <si>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</si>
  <si>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</si>
  <si>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</si>
  <si>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</si>
  <si>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</si>
  <si>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</si>
  <si>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</si>
  <si>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</si>
  <si>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</si>
  <si>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</si>
  <si>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</si>
  <si>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</si>
  <si>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</si>
  <si>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</si>
  <si>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</si>
  <si>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</si>
  <si>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</si>
  <si>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</si>
  <si>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</si>
  <si>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</si>
  <si>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</si>
  <si>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</si>
  <si>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</si>
  <si>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</si>
  <si>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</si>
  <si>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</si>
  <si>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</si>
  <si>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</si>
  <si>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</si>
  <si>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</si>
  <si>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</si>
  <si>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</si>
  <si>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</si>
  <si>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</si>
  <si>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</si>
  <si>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</si>
  <si>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</si>
  <si>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</si>
  <si>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</si>
  <si>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</si>
  <si>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</si>
  <si>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</si>
  <si>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</si>
  <si>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</si>
  <si>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</si>
  <si>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</si>
  <si>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</si>
  <si>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</si>
  <si>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</si>
  <si>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</si>
  <si>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</si>
  <si>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</si>
  <si>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</si>
  <si>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</si>
  <si>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</si>
  <si>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</si>
  <si>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</si>
  <si>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</si>
  <si>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</si>
  <si>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</si>
  <si>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</si>
  <si>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</si>
  <si>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</si>
  <si>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</si>
  <si>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</si>
  <si>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</si>
  <si>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</si>
  <si>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</si>
  <si>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</si>
  <si>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</si>
  <si>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</si>
  <si>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</si>
  <si>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</si>
  <si>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</si>
  <si>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</si>
  <si>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</si>
  <si>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</si>
  <si>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</si>
  <si>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</si>
  <si>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</si>
  <si>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</si>
  <si>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</si>
  <si>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</si>
  <si>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</si>
  <si>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</si>
  <si>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</si>
  <si>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</si>
  <si>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</si>
  <si>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</si>
  <si>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</si>
  <si>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</si>
  <si>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</si>
  <si>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</si>
  <si>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</si>
  <si>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</si>
  <si>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</si>
  <si>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</si>
  <si>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</si>
  <si>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</si>
  <si>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</si>
  <si>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</si>
  <si>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</si>
  <si>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</si>
  <si>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</si>
  <si>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</si>
  <si>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</si>
  <si>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</si>
  <si>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</si>
  <si>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</si>
  <si>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</si>
  <si>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</si>
  <si>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</si>
  <si>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</si>
  <si>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</si>
  <si>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</si>
  <si>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</si>
  <si>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</si>
  <si>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</si>
  <si>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</si>
  <si>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</si>
  <si>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</si>
  <si>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</si>
  <si>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</si>
  <si>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</si>
  <si>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</si>
  <si>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</si>
  <si>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</si>
  <si>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</si>
  <si>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</si>
  <si>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</si>
  <si>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</si>
  <si>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</si>
  <si>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</si>
  <si>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</si>
  <si>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</si>
  <si>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</si>
  <si>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</si>
  <si>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</si>
  <si>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</si>
  <si>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</si>
  <si>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</si>
  <si>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</si>
  <si>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</si>
  <si>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</si>
  <si>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</si>
  <si>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</si>
  <si>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</si>
  <si>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</si>
  <si>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</si>
  <si>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</si>
  <si>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</si>
  <si>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</si>
  <si>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</si>
  <si>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</si>
  <si>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</si>
  <si>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</si>
  <si>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</si>
  <si>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</si>
  <si>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</si>
  <si>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</si>
  <si>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</si>
  <si>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</si>
  <si>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</si>
  <si>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</si>
  <si>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</si>
  <si>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</si>
  <si>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</si>
  <si>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</si>
  <si>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</si>
  <si>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</si>
  <si>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</si>
  <si>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</si>
  <si>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</si>
  <si>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</si>
  <si>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</si>
  <si>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</si>
  <si>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</si>
  <si>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</si>
  <si>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</si>
  <si>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</si>
  <si>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</si>
  <si>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</si>
  <si>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</si>
  <si>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</si>
  <si>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</si>
  <si>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</si>
  <si>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</si>
  <si>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</si>
  <si>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</si>
  <si>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</si>
  <si>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</si>
  <si>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</si>
  <si>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</si>
  <si>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</si>
  <si>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</si>
  <si>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</si>
  <si>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</si>
  <si>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</si>
  <si>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</si>
  <si>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</si>
  <si>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</si>
  <si>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</si>
  <si>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</si>
  <si>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</si>
  <si>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</si>
  <si>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</si>
  <si>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</si>
  <si>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</si>
  <si>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</si>
  <si>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</si>
  <si>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</si>
  <si>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</si>
  <si>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</si>
  <si>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</si>
  <si>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</si>
  <si>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</si>
  <si>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</si>
  <si>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</si>
  <si>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</si>
  <si>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</si>
  <si>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</si>
  <si>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</si>
  <si>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</si>
  <si>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</si>
  <si>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</si>
  <si>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</si>
  <si>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</si>
  <si>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</si>
  <si>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</si>
  <si>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</si>
  <si>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</si>
  <si>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</si>
  <si>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</si>
  <si>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</si>
  <si>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</si>
  <si>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</si>
  <si>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</si>
  <si>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</si>
  <si>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</si>
  <si>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</si>
  <si>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</si>
  <si>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</si>
  <si>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</si>
  <si>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</si>
  <si>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</si>
  <si>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</si>
  <si>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</si>
  <si>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</si>
  <si>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</si>
  <si>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</si>
  <si>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</si>
  <si>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</si>
  <si>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</si>
  <si>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</si>
  <si>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</si>
  <si>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</si>
  <si>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</si>
  <si>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</si>
  <si>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</si>
  <si>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</si>
  <si>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</si>
  <si>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</si>
  <si>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</si>
  <si>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</si>
  <si>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</si>
  <si>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</si>
  <si>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</si>
  <si>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</si>
  <si>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</si>
  <si>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</si>
  <si>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</si>
  <si>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</si>
  <si>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</si>
  <si>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</si>
  <si>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</si>
  <si>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</si>
  <si>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</si>
  <si>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</si>
  <si>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</si>
  <si>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</si>
  <si>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</si>
  <si>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</si>
  <si>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</si>
  <si>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</si>
  <si>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</si>
  <si>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</si>
  <si>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</si>
  <si>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</si>
  <si>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</si>
  <si>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</si>
  <si>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</si>
  <si>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</si>
  <si>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</si>
  <si>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</si>
  <si>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</si>
  <si>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</si>
  <si>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</si>
  <si>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</si>
  <si>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</si>
  <si>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</si>
  <si>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</si>
  <si>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</si>
  <si>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</si>
  <si>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</si>
  <si>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</si>
  <si>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</si>
  <si>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</si>
  <si>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</si>
  <si>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</si>
  <si>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</si>
  <si>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</si>
  <si>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</si>
  <si>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</si>
  <si>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</si>
  <si>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</si>
  <si>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</si>
  <si>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</si>
  <si>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</si>
  <si>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</si>
  <si>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</si>
  <si>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</si>
  <si>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</si>
  <si>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</si>
  <si>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</si>
  <si>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</si>
  <si>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</si>
  <si>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</si>
  <si>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</si>
  <si>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</si>
  <si>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</si>
  <si>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</si>
  <si>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</si>
  <si>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</si>
  <si>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</si>
  <si>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</si>
  <si>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</si>
  <si>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</si>
  <si>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</si>
  <si>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</si>
  <si>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</si>
  <si>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</si>
  <si>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</si>
  <si>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</si>
  <si>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</si>
  <si>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</si>
  <si>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</si>
  <si>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</si>
  <si>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</si>
  <si>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</si>
  <si>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</si>
  <si>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</si>
  <si>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</si>
  <si>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</si>
  <si>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</si>
  <si>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</si>
  <si>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</si>
  <si>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</si>
  <si>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</si>
  <si>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</si>
  <si>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</si>
  <si>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</si>
  <si>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</si>
  <si>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</si>
  <si>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</si>
  <si>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</si>
  <si>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</si>
  <si>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</si>
  <si>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</si>
  <si>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</si>
  <si>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</si>
  <si>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</si>
  <si>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</si>
  <si>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</si>
  <si>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</si>
  <si>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</si>
  <si>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</si>
  <si>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</si>
  <si>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</si>
  <si>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</si>
  <si>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</si>
  <si>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</si>
  <si>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</si>
  <si>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</si>
  <si>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</si>
  <si>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</si>
  <si>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</si>
  <si>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</si>
  <si>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</si>
  <si>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</si>
  <si>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</si>
  <si>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</si>
  <si>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</si>
  <si>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</si>
  <si>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</si>
  <si>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</si>
  <si>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</si>
  <si>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</si>
  <si>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</si>
  <si>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</si>
  <si>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</si>
  <si>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</si>
  <si>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</si>
  <si>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</si>
  <si>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</si>
  <si>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</si>
  <si>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</si>
  <si>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</si>
  <si>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</si>
  <si>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</si>
  <si>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</si>
  <si>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</si>
  <si>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</si>
  <si>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</si>
  <si>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</si>
  <si>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</si>
  <si>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</si>
  <si>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</si>
  <si>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</si>
  <si>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</si>
  <si>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</si>
  <si>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</si>
  <si>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</si>
  <si>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</si>
  <si>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</si>
  <si>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</si>
  <si>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</si>
  <si>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</si>
  <si>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</si>
  <si>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</si>
  <si>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</si>
  <si>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</si>
  <si>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</si>
  <si>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</si>
  <si>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</si>
  <si>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</si>
  <si>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</si>
  <si>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</si>
  <si>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</si>
  <si>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</si>
  <si>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</si>
  <si>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</si>
  <si>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</si>
  <si>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</si>
  <si>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</si>
  <si>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</si>
  <si>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</si>
  <si>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</si>
  <si>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</si>
  <si>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</si>
  <si>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</si>
  <si>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</si>
  <si>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</si>
  <si>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</si>
  <si>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</si>
  <si>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</si>
  <si>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</si>
  <si>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</si>
  <si>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</si>
  <si>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</si>
  <si>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</si>
  <si>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</si>
  <si>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</si>
  <si>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</si>
  <si>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</si>
  <si>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</si>
  <si>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</si>
  <si>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</si>
  <si>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</si>
  <si>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</si>
  <si>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</si>
  <si>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</si>
  <si>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</si>
  <si>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</si>
  <si>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</si>
  <si>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</si>
  <si>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</si>
  <si>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</si>
  <si>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</si>
  <si>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</si>
  <si>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</si>
  <si>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</si>
  <si>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</si>
  <si>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</si>
  <si>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</si>
  <si>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</si>
  <si>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</si>
  <si>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</si>
  <si>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</si>
  <si>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</si>
  <si>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</si>
  <si>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</si>
  <si>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</si>
  <si>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</si>
  <si>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</si>
  <si>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</si>
  <si>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</si>
  <si>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</si>
  <si>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</si>
  <si>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</si>
  <si>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</si>
  <si>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</si>
  <si>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</si>
  <si>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</si>
  <si>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</si>
  <si>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</si>
  <si>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</si>
  <si>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</si>
  <si>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</si>
  <si>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</si>
  <si>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</si>
  <si>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</si>
  <si>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</si>
  <si>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</si>
  <si>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</si>
  <si>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</si>
  <si>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</si>
  <si>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</si>
  <si>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</si>
  <si>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</si>
  <si>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</si>
  <si>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</si>
  <si>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</si>
  <si>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</si>
  <si>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</si>
  <si>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</si>
  <si>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</si>
  <si>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</si>
  <si>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</si>
  <si>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</si>
  <si>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</si>
  <si>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</si>
  <si>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</si>
  <si>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</si>
  <si>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</si>
  <si>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</si>
  <si>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</si>
  <si>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</si>
  <si>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</si>
  <si>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</si>
  <si>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</si>
  <si>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</si>
  <si>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</si>
  <si>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</si>
  <si>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</si>
  <si>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</si>
  <si>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</si>
  <si>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</si>
  <si>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</si>
  <si>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</si>
  <si>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</si>
  <si>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</si>
  <si>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</si>
  <si>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</si>
  <si>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</si>
  <si>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</si>
  <si>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</si>
  <si>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</si>
  <si>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</si>
  <si>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</si>
  <si>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</si>
  <si>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</si>
  <si>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</si>
  <si>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</si>
  <si>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</si>
  <si>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</si>
  <si>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</si>
  <si>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</si>
  <si>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</si>
  <si>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</si>
  <si>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</si>
  <si>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</si>
  <si>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</si>
  <si>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</si>
  <si>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</si>
  <si>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</si>
  <si>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</si>
  <si>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</si>
  <si>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</si>
  <si>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</si>
  <si>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</si>
  <si>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</si>
  <si>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</si>
  <si>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</si>
  <si>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</si>
  <si>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</si>
  <si>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</si>
  <si>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</si>
  <si>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</si>
  <si>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</si>
  <si>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</si>
  <si>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</si>
  <si>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</si>
  <si>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</si>
  <si>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</si>
  <si>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</si>
  <si>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</si>
  <si>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</si>
  <si>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</si>
  <si>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</si>
  <si>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</si>
  <si>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</si>
  <si>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</si>
  <si>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</si>
  <si>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</si>
  <si>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</si>
  <si>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</si>
  <si>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</si>
  <si>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</si>
  <si>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</si>
  <si>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</si>
  <si>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</si>
  <si>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</si>
  <si>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</si>
  <si>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</si>
  <si>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</si>
  <si>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</si>
  <si>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</si>
  <si>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</si>
  <si>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</si>
  <si>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</si>
  <si>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</si>
  <si>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</si>
  <si>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</si>
  <si>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</si>
  <si>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</si>
  <si>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</si>
  <si>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</si>
  <si>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</si>
  <si>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</si>
  <si>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</si>
  <si>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</si>
  <si>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</si>
  <si>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</si>
  <si>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</si>
  <si>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</si>
  <si>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</si>
  <si>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</si>
  <si>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</si>
  <si>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</si>
  <si>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</si>
  <si>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</si>
  <si>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</si>
  <si>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</si>
  <si>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</si>
  <si>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</si>
  <si>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</si>
  <si>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</si>
  <si>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</si>
  <si>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</si>
  <si>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</si>
  <si>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</si>
  <si>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</si>
  <si>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</si>
  <si>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</si>
  <si>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</si>
  <si>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</si>
  <si>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</si>
  <si>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</si>
  <si>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</si>
  <si>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</si>
  <si>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</si>
  <si>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</si>
  <si>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</si>
  <si>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</si>
  <si>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</si>
  <si>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</si>
  <si>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</si>
  <si>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</si>
  <si>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</si>
  <si>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</si>
  <si>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</si>
  <si>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</si>
  <si>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</si>
  <si>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</si>
  <si>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</si>
  <si>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</si>
  <si>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</si>
  <si>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</si>
  <si>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</si>
  <si>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</si>
  <si>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</si>
  <si>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</si>
  <si>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</si>
  <si>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</si>
  <si>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</si>
  <si>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</si>
  <si>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</si>
  <si>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</si>
  <si>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</si>
  <si>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</si>
  <si>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</si>
  <si>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</si>
  <si>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</si>
  <si>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</si>
  <si>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</si>
  <si>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</si>
  <si>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</si>
  <si>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</si>
  <si>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</si>
  <si>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</si>
  <si>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</si>
  <si>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</si>
  <si>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</si>
  <si>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</si>
  <si>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</si>
  <si>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</si>
  <si>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</si>
  <si>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</si>
  <si>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</si>
  <si>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</si>
  <si>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</si>
  <si>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</si>
  <si>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</si>
  <si>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</si>
  <si>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</si>
  <si>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</si>
  <si>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</si>
  <si>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</si>
  <si>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</si>
  <si>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</si>
  <si>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</si>
  <si>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</si>
  <si>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</si>
  <si>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</si>
  <si>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</si>
  <si>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</si>
  <si>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</si>
  <si>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</si>
  <si>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</si>
  <si>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</si>
  <si>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</si>
  <si>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</si>
  <si>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</si>
  <si>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</si>
  <si>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</si>
  <si>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</si>
  <si>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</si>
  <si>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</si>
  <si>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</si>
  <si>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</si>
  <si>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</si>
  <si>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</si>
  <si>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</si>
  <si>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</si>
  <si>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</si>
  <si>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</si>
  <si>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</si>
  <si>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</si>
  <si>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</si>
  <si>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</si>
  <si>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</si>
  <si>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</si>
  <si>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</si>
  <si>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</si>
  <si>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</si>
  <si>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</si>
  <si>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</si>
  <si>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</si>
  <si>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</si>
  <si>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</si>
  <si>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</si>
  <si>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</si>
  <si>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</si>
  <si>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</si>
  <si>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</si>
  <si>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</si>
  <si>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</si>
  <si>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</si>
  <si>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</si>
  <si>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</si>
  <si>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</si>
  <si>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</si>
  <si>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</si>
  <si>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</si>
  <si>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</si>
  <si>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</si>
  <si>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</si>
  <si>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</si>
  <si>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</si>
  <si>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</si>
  <si>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</si>
  <si>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</si>
  <si>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</si>
  <si>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</si>
  <si>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</si>
  <si>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</si>
  <si>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</si>
  <si>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</si>
  <si>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</si>
  <si>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</si>
  <si>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</si>
  <si>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</si>
  <si>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</si>
  <si>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</si>
  <si>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</si>
  <si>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</si>
  <si>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</si>
  <si>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</si>
  <si>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</si>
  <si>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</si>
  <si>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</si>
  <si>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</si>
  <si>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</si>
  <si>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</si>
  <si>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</si>
  <si>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</si>
  <si>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</si>
  <si>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</si>
  <si>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</si>
  <si>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</si>
  <si>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</si>
  <si>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</si>
  <si>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</si>
  <si>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</si>
  <si>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</si>
  <si>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</si>
  <si>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</si>
  <si>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</si>
  <si>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</si>
  <si>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</si>
  <si>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</si>
  <si>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</si>
  <si>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</si>
  <si>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</si>
  <si>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</si>
  <si>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</si>
  <si>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</si>
  <si>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</si>
  <si>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</si>
  <si>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</si>
  <si>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</si>
  <si>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</si>
  <si>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</si>
  <si>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</si>
  <si>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</si>
  <si>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</si>
  <si>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</si>
  <si>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</si>
  <si>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</si>
  <si>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</si>
  <si>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</si>
  <si>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</si>
  <si>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</si>
  <si>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</si>
  <si>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</si>
  <si>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</si>
  <si>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</si>
  <si>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</si>
  <si>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</si>
  <si>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</si>
  <si>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</si>
  <si>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</si>
  <si>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</si>
  <si>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</si>
  <si>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</si>
  <si>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</si>
  <si>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</si>
  <si>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</si>
  <si>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</si>
  <si>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</si>
  <si>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</si>
  <si>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</si>
  <si>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</si>
  <si>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</si>
  <si>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</si>
  <si>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</si>
  <si>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</si>
  <si>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</si>
  <si>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</si>
  <si>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</si>
  <si>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</si>
  <si>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</si>
  <si>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</si>
  <si>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</si>
  <si>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</si>
  <si>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</si>
  <si>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</si>
  <si>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</si>
  <si>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</si>
  <si>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</si>
  <si>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</si>
  <si>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</si>
  <si>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</si>
  <si>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</si>
  <si>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</si>
  <si>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</si>
  <si>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</si>
  <si>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</si>
  <si>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</si>
  <si>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</si>
  <si>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</si>
  <si>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</si>
  <si>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</si>
  <si>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</si>
  <si>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</si>
  <si>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</si>
  <si>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</si>
  <si>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</si>
  <si>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</si>
  <si>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</si>
  <si>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</si>
  <si>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</si>
  <si>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</si>
  <si>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</si>
  <si>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</si>
  <si>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</si>
  <si>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</si>
  <si>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</si>
  <si>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</si>
  <si>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</si>
  <si>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</si>
  <si>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</si>
  <si>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</si>
  <si>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</si>
  <si>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</si>
  <si>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</si>
  <si>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</si>
  <si>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</si>
  <si>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</si>
  <si>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</si>
  <si>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</si>
  <si>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</si>
  <si>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</si>
  <si>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</si>
  <si>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</si>
  <si>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</si>
  <si>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</si>
  <si>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</si>
  <si>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</si>
  <si>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</si>
  <si>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</si>
  <si>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</si>
  <si>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</si>
  <si>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</si>
  <si>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</si>
  <si>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</si>
  <si>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</si>
  <si>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</si>
  <si>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</si>
  <si>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</si>
  <si>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</si>
  <si>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</si>
  <si>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</si>
  <si>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</si>
  <si>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</si>
  <si>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</si>
  <si>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</si>
  <si>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</si>
  <si>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</si>
  <si>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</si>
  <si>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</si>
  <si>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</si>
  <si>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</si>
  <si>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</si>
  <si>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</si>
  <si>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</si>
  <si>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</si>
  <si>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</si>
  <si>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</si>
  <si>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</si>
  <si>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</si>
  <si>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</si>
  <si>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</si>
  <si>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</si>
  <si>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</si>
  <si>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</si>
  <si>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</si>
  <si>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</si>
  <si>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</si>
  <si>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</si>
  <si>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</si>
  <si>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</si>
  <si>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</si>
  <si>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</si>
  <si>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</si>
  <si>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</si>
  <si>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</si>
  <si>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</si>
  <si>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</si>
  <si>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</si>
  <si>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</si>
  <si>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</si>
  <si>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</si>
  <si>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</si>
  <si>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</si>
  <si>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</si>
  <si>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</si>
  <si>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</si>
  <si>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</si>
  <si>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</si>
  <si>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</si>
  <si>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</si>
  <si>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</si>
  <si>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</si>
  <si>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</si>
  <si>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</si>
  <si>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</si>
  <si>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</si>
  <si>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</si>
  <si>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</si>
  <si>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</si>
  <si>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</si>
  <si>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</si>
  <si>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</si>
  <si>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</si>
  <si>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</si>
  <si>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</si>
  <si>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</si>
  <si>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</si>
  <si>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</si>
  <si>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</si>
  <si>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</si>
  <si>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</si>
  <si>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</si>
  <si>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</si>
  <si>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</si>
  <si>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</si>
  <si>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</si>
  <si>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</si>
  <si>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</si>
  <si>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</si>
  <si>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</si>
  <si>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</si>
  <si>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</si>
  <si>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</si>
  <si>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</si>
  <si>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</si>
  <si>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</si>
  <si>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</si>
  <si>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</si>
  <si>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</si>
  <si>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</si>
  <si>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</si>
  <si>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</si>
  <si>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</si>
  <si>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</si>
  <si>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</si>
  <si>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</si>
  <si>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</si>
  <si>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</si>
  <si>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</si>
  <si>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</si>
  <si>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</si>
  <si>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</si>
  <si>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</si>
  <si>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</si>
  <si>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</si>
  <si>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</si>
  <si>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</si>
  <si>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</si>
  <si>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</si>
  <si>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</si>
  <si>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</si>
  <si>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</si>
  <si>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</si>
  <si>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</si>
  <si>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</si>
  <si>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</si>
  <si>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</si>
  <si>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</si>
  <si>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</si>
  <si>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</si>
  <si>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</si>
  <si>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</si>
  <si>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</si>
  <si>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</si>
  <si>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</si>
  <si>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</si>
  <si>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</si>
  <si>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</si>
  <si>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</si>
  <si>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</si>
  <si>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</si>
  <si>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</si>
  <si>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</si>
  <si>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</si>
  <si>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</si>
  <si>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</si>
  <si>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</si>
  <si>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</si>
  <si>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</si>
  <si>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</si>
  <si>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</si>
  <si>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</si>
  <si>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</si>
  <si>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</si>
  <si>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</si>
  <si>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</si>
  <si>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</si>
  <si>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</si>
  <si>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</si>
  <si>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</si>
  <si>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</si>
  <si>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</si>
  <si>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</si>
  <si>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</si>
  <si>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</si>
  <si>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</si>
  <si>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</si>
  <si>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</si>
  <si>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</si>
  <si>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</si>
  <si>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</si>
  <si>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</si>
  <si>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</si>
  <si>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</si>
  <si>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</si>
  <si>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</si>
  <si>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</si>
  <si>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</si>
  <si>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</si>
  <si>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</si>
  <si>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</si>
  <si>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</si>
  <si>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</si>
  <si>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</si>
  <si>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</si>
  <si>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</si>
  <si>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</si>
  <si>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</si>
  <si>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</si>
  <si>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</si>
  <si>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</si>
  <si>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</si>
  <si>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</si>
  <si>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</si>
  <si>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</si>
  <si>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</si>
  <si>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</si>
  <si>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</si>
  <si>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</si>
  <si>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</si>
  <si>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</si>
  <si>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</si>
  <si>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</si>
  <si>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</si>
  <si>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</si>
  <si>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</si>
  <si>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</si>
  <si>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</si>
  <si>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</si>
  <si>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</si>
  <si>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</si>
  <si>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</si>
  <si>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</si>
  <si>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</si>
  <si>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</si>
  <si>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</si>
  <si>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</si>
  <si>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</si>
  <si>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</si>
  <si>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</si>
  <si>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</si>
  <si>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</si>
  <si>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</si>
  <si>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</si>
  <si>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</si>
  <si>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</si>
  <si>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</si>
  <si>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</si>
  <si>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</si>
  <si>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</si>
  <si>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</si>
  <si>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</si>
  <si>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</si>
  <si>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</si>
  <si>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</si>
  <si>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</si>
  <si>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</si>
  <si>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</si>
  <si>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</si>
  <si>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</si>
  <si>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</si>
  <si>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</si>
  <si>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</si>
  <si>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</si>
  <si>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</si>
  <si>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</si>
  <si>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</si>
  <si>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</si>
  <si>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</si>
  <si>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</si>
  <si>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</si>
  <si>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</si>
  <si>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</si>
  <si>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</si>
  <si>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</si>
  <si>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</si>
  <si>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</si>
  <si>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</si>
  <si>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</si>
  <si>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</si>
  <si>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</si>
  <si>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</si>
  <si>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</si>
  <si>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</si>
  <si>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</si>
  <si>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</si>
  <si>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</si>
  <si>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</si>
  <si>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</si>
  <si>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</si>
  <si>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</si>
  <si>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</si>
  <si>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</si>
  <si>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</si>
  <si>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</si>
  <si>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</si>
  <si>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</si>
  <si>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</si>
  <si>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</si>
  <si>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</si>
  <si>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</si>
  <si>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</si>
  <si>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</si>
  <si>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</si>
  <si>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</si>
  <si>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</si>
  <si>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</si>
  <si>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</si>
  <si>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</si>
  <si>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</si>
  <si>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</si>
  <si>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</si>
  <si>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</si>
  <si>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</si>
  <si>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</si>
  <si>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</si>
  <si>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</si>
  <si>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</si>
  <si>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</si>
  <si>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</si>
  <si>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</si>
  <si>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</si>
  <si>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</si>
  <si>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</si>
  <si>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</si>
  <si>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</si>
  <si>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</si>
  <si>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</si>
  <si>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</si>
  <si>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</si>
  <si>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</si>
  <si>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</si>
  <si>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</si>
  <si>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</si>
  <si>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</si>
  <si>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</si>
  <si>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</si>
  <si>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</si>
  <si>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</si>
  <si>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</si>
  <si>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</si>
  <si>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</si>
  <si>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</si>
  <si>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</si>
  <si>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</si>
  <si>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</si>
  <si>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</si>
  <si>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</si>
  <si>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</si>
  <si>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</si>
  <si>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</si>
  <si>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</si>
  <si>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</si>
  <si>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</si>
  <si>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</si>
  <si>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</si>
  <si>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</si>
  <si>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</si>
  <si>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</si>
  <si>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</si>
  <si>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</si>
  <si>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</si>
  <si>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</si>
  <si>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</si>
  <si>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</si>
  <si>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</si>
  <si>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</si>
  <si>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</si>
  <si>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</si>
  <si>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</si>
  <si>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</si>
  <si>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</si>
  <si>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</si>
  <si>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</si>
  <si>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</si>
  <si>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</si>
  <si>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</si>
  <si>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</si>
  <si>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</si>
  <si>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</si>
  <si>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</si>
  <si>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</si>
  <si>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</si>
  <si>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</si>
  <si>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</si>
  <si>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</si>
  <si>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</si>
  <si>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</si>
  <si>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</si>
  <si>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</si>
  <si>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</si>
  <si>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</si>
  <si>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</si>
  <si>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</si>
  <si>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</si>
  <si>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</si>
  <si>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</si>
  <si>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</si>
  <si>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</si>
  <si>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</si>
  <si>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</si>
  <si>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</si>
  <si>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</si>
  <si>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</si>
  <si>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</si>
  <si>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</si>
  <si>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</si>
  <si>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</si>
  <si>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</si>
  <si>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</si>
  <si>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</si>
  <si>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</si>
  <si>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</si>
  <si>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</si>
  <si>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</si>
  <si>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</si>
  <si>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</si>
  <si>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</si>
  <si>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</si>
  <si>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</si>
  <si>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</si>
  <si>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</si>
  <si>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</si>
  <si>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</si>
  <si>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</si>
  <si>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</si>
  <si>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</si>
  <si>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</si>
  <si>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</si>
  <si>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</si>
  <si>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</si>
  <si>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</si>
  <si>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</si>
  <si>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</si>
  <si>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</si>
  <si>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</si>
  <si>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</si>
  <si>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</si>
  <si>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</si>
  <si>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</si>
  <si>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</si>
  <si>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</si>
  <si>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</si>
  <si>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</si>
  <si>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</si>
  <si>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</si>
  <si>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</si>
  <si>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</si>
  <si>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</si>
  <si>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</si>
  <si>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</si>
  <si>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</si>
  <si>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</si>
  <si>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</si>
  <si>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</si>
  <si>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</si>
  <si>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</si>
  <si>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</si>
  <si>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</si>
  <si>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</si>
  <si>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</si>
  <si>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</si>
  <si>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</si>
  <si>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</si>
  <si>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</si>
  <si>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</si>
  <si>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</si>
  <si>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</si>
  <si>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</si>
  <si>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</si>
  <si>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</si>
  <si>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</si>
  <si>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</si>
  <si>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</si>
  <si>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</si>
  <si>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</si>
  <si>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</si>
  <si>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</si>
  <si>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</si>
  <si>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</si>
  <si>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</si>
  <si>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</si>
  <si>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</si>
  <si>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</si>
  <si>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</si>
  <si>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</si>
  <si>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</si>
  <si>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</si>
  <si>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</si>
  <si>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</si>
  <si>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</si>
  <si>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</si>
  <si>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</si>
  <si>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</si>
  <si>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</si>
  <si>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</si>
  <si>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</si>
  <si>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</si>
  <si>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</si>
  <si>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</si>
  <si>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</si>
  <si>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</si>
  <si>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</si>
  <si>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</si>
  <si>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</si>
  <si>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</si>
  <si>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</si>
  <si>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</si>
  <si>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</si>
  <si>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</si>
  <si>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</si>
  <si>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</si>
  <si>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</si>
  <si>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</si>
  <si>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</si>
  <si>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</si>
  <si>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</si>
  <si>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</si>
  <si>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</si>
  <si>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</si>
  <si>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</si>
  <si>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</si>
  <si>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</si>
  <si>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</si>
  <si>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</si>
  <si>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</si>
  <si>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</si>
  <si>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</si>
  <si>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</si>
  <si>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</si>
  <si>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</si>
  <si>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</si>
  <si>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</si>
  <si>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</si>
  <si>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</si>
  <si>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</si>
  <si>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</si>
  <si>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</si>
  <si>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</si>
  <si>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</si>
  <si>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</si>
  <si>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</si>
  <si>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</si>
  <si>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</si>
  <si>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</si>
  <si>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</si>
  <si>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</si>
  <si>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</si>
  <si>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</si>
  <si>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</si>
  <si>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</si>
  <si>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</si>
  <si>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</si>
  <si>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</si>
  <si>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</si>
  <si>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</si>
  <si>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</si>
  <si>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</si>
  <si>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</si>
  <si>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</si>
  <si>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</si>
  <si>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</si>
  <si>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</si>
  <si>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</si>
  <si>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</si>
  <si>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</si>
  <si>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</si>
  <si>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</si>
  <si>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</si>
  <si>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</si>
  <si>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</si>
  <si>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</si>
  <si>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</si>
  <si>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</si>
  <si>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</si>
  <si>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</si>
  <si>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</si>
  <si>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</si>
  <si>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</si>
  <si>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</si>
  <si>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</si>
  <si>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</si>
  <si>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</si>
  <si>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</si>
  <si>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</si>
  <si>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</si>
  <si>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</si>
  <si>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</si>
  <si>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</si>
  <si>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</si>
  <si>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</si>
  <si>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</si>
  <si>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</si>
  <si>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</si>
  <si>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</si>
  <si>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</si>
  <si>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</si>
  <si>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</si>
  <si>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</si>
  <si>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</si>
  <si>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</si>
  <si>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</si>
  <si>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</si>
  <si>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</si>
  <si>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</si>
  <si>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</si>
  <si>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</si>
  <si>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</si>
  <si>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</si>
  <si>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</si>
  <si>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</si>
  <si>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</si>
  <si>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</si>
  <si>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</si>
  <si>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</si>
  <si>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</si>
  <si>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</si>
  <si>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</si>
  <si>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</si>
  <si>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</si>
  <si>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</si>
  <si>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</si>
  <si>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</si>
  <si>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</si>
  <si>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</si>
  <si>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</si>
  <si>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</si>
  <si>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</si>
  <si>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</si>
  <si>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</si>
  <si>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</si>
  <si>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</si>
  <si>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</si>
  <si>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</si>
  <si>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</si>
  <si>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</si>
  <si>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</si>
  <si>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</si>
  <si>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</si>
  <si>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</si>
  <si>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</si>
  <si>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</si>
  <si>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</si>
  <si>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</si>
  <si>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</si>
  <si>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</si>
  <si>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</si>
  <si>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</si>
  <si>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</si>
  <si>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</si>
  <si>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</si>
  <si>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</si>
  <si>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</si>
  <si>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</si>
  <si>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</si>
  <si>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</si>
  <si>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</si>
  <si>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</si>
  <si>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</si>
  <si>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</si>
  <si>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</si>
  <si>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</si>
  <si>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</si>
  <si>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</si>
  <si>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</si>
  <si>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</si>
  <si>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</si>
  <si>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</si>
  <si>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</si>
  <si>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</si>
  <si>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</si>
  <si>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</si>
  <si>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</si>
  <si>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</si>
  <si>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</si>
  <si>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</si>
  <si>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</si>
  <si>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</si>
  <si>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</si>
  <si>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</si>
  <si>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</si>
  <si>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</si>
  <si>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</si>
  <si>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</si>
  <si>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</si>
  <si>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</si>
  <si>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</si>
  <si>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</si>
  <si>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</si>
  <si>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</si>
  <si>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</si>
  <si>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</si>
  <si>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</si>
  <si>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</si>
  <si>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</si>
  <si>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</si>
  <si>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</si>
  <si>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</si>
  <si>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</si>
  <si>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</si>
  <si>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</si>
  <si>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</si>
  <si>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</si>
  <si>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</si>
  <si>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</si>
  <si>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</si>
  <si>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</si>
  <si>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</si>
  <si>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</si>
  <si>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</si>
  <si>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</si>
  <si>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</si>
  <si>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</si>
  <si>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</si>
  <si>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</si>
  <si>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</si>
  <si>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</si>
  <si>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</si>
  <si>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</si>
  <si>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</si>
  <si>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</si>
  <si>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</si>
  <si>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</si>
  <si>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</si>
  <si>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</si>
  <si>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</si>
  <si>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</si>
  <si>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</si>
  <si>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</si>
  <si>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</si>
  <si>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</si>
  <si>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</si>
  <si>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</si>
  <si>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</si>
  <si>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</si>
  <si>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</si>
  <si>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</si>
  <si>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</si>
  <si>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</si>
  <si>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</si>
  <si>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</si>
  <si>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</si>
  <si>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</si>
  <si>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</si>
  <si>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</si>
  <si>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</si>
  <si>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</si>
  <si>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</si>
  <si>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</si>
  <si>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</si>
  <si>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</si>
  <si>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</si>
  <si>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</si>
  <si>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</si>
  <si>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</si>
  <si>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</si>
  <si>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</si>
  <si>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</si>
  <si>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</si>
  <si>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</si>
  <si>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</si>
  <si>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</si>
  <si>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</si>
  <si>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</si>
  <si>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</si>
  <si>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</si>
  <si>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</si>
  <si>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</si>
  <si>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</si>
  <si>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</si>
  <si>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</si>
  <si>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</si>
  <si>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</si>
  <si>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</si>
  <si>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</si>
  <si>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</si>
  <si>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</si>
  <si>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</si>
  <si>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</si>
  <si>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</si>
  <si>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</si>
  <si>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</si>
  <si>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</si>
  <si>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</si>
  <si>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</si>
  <si>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</si>
  <si>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</si>
  <si>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</si>
  <si>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</si>
  <si>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</si>
  <si>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</si>
  <si>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</si>
  <si>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</si>
  <si>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</si>
  <si>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</si>
  <si>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</si>
  <si>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</si>
  <si>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</si>
  <si>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</si>
  <si>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</si>
  <si>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</si>
  <si>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</si>
  <si>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</si>
  <si>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</si>
  <si>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</si>
  <si>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</si>
  <si>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</si>
  <si>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</si>
  <si>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</si>
  <si>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</si>
  <si>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</si>
  <si>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</si>
  <si>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</si>
  <si>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</si>
  <si>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</si>
  <si>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</si>
  <si>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</si>
  <si>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</si>
  <si>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</si>
  <si>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</si>
  <si>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</si>
  <si>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</si>
  <si>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</si>
  <si>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</si>
  <si>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</si>
  <si>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</si>
  <si>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</si>
  <si>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</si>
  <si>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</si>
  <si>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</si>
  <si>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</si>
  <si>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</si>
  <si>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</si>
  <si>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</si>
  <si>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</si>
  <si>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</si>
  <si>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</si>
  <si>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</si>
  <si>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</si>
  <si>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</si>
  <si>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</si>
  <si>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</si>
  <si>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</si>
  <si>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</si>
  <si>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</si>
  <si>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</si>
  <si>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</si>
  <si>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</si>
  <si>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</si>
  <si>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</si>
  <si>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</si>
  <si>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</si>
  <si>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</si>
  <si>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</si>
  <si>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</si>
  <si>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</si>
  <si>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</si>
  <si>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</si>
  <si>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</si>
  <si>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</si>
  <si>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</si>
  <si>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</si>
  <si>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</si>
  <si>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</si>
  <si>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</si>
  <si>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</si>
  <si>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</si>
  <si>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</si>
  <si>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</si>
  <si>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</si>
  <si>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</si>
  <si>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</si>
  <si>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</si>
  <si>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</si>
  <si>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</si>
  <si>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</si>
  <si>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</si>
  <si>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</si>
  <si>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</si>
  <si>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</si>
  <si>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</si>
  <si>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</si>
  <si>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</si>
  <si>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</si>
  <si>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</si>
  <si>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</si>
  <si>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</si>
  <si>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</si>
  <si>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</si>
  <si>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</si>
  <si>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</si>
  <si>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</si>
  <si>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</si>
  <si>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</si>
  <si>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</si>
  <si>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</si>
  <si>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</si>
  <si>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</si>
  <si>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</si>
  <si>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</si>
  <si>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</si>
  <si>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</si>
  <si>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</si>
  <si>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</si>
  <si>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</si>
  <si>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</si>
  <si>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</si>
  <si>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</si>
  <si>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</si>
  <si>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</si>
  <si>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</si>
  <si>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</si>
  <si>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</si>
  <si>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</si>
  <si>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</si>
  <si>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</si>
  <si>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</si>
  <si>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</si>
  <si>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</si>
  <si>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</si>
  <si>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</si>
  <si>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</si>
  <si>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</si>
  <si>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</si>
  <si>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</si>
  <si>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</si>
  <si>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</si>
  <si>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</si>
  <si>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</si>
  <si>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</si>
  <si>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</si>
  <si>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</si>
  <si>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</si>
  <si>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</si>
  <si>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</si>
  <si>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</si>
  <si>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</si>
  <si>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</si>
  <si>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</si>
  <si>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</si>
  <si>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</si>
  <si>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</si>
  <si>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</si>
  <si>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</si>
  <si>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</si>
  <si>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</si>
  <si>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</si>
  <si>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</si>
  <si>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</si>
  <si>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</si>
  <si>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</si>
  <si>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</si>
  <si>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</si>
  <si>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</si>
  <si>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</si>
  <si>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</si>
  <si>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</si>
  <si>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</si>
  <si>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</si>
  <si>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</si>
  <si>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</si>
  <si>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</si>
  <si>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</si>
  <si>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</si>
  <si>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</si>
  <si>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</si>
  <si>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</si>
  <si>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</si>
  <si>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</si>
  <si>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</si>
  <si>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</si>
  <si>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</si>
  <si>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</si>
  <si>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</si>
  <si>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</si>
  <si>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</si>
  <si>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</si>
  <si>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</si>
  <si>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</si>
  <si>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</si>
  <si>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</si>
  <si>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</si>
  <si>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</si>
  <si>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</si>
  <si>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</si>
  <si>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</si>
  <si>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</si>
  <si>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</si>
  <si>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</si>
  <si>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</si>
  <si>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</si>
  <si>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</si>
  <si>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</si>
  <si>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</si>
  <si>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</si>
  <si>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</si>
  <si>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</si>
  <si>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</si>
  <si>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</si>
  <si>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</si>
  <si>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</si>
  <si>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</si>
  <si>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</si>
  <si>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</si>
  <si>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</si>
  <si>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</si>
  <si>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</si>
  <si>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</si>
  <si>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</si>
  <si>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</si>
  <si>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</si>
  <si>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</si>
  <si>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</si>
  <si>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</si>
  <si>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</si>
  <si>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</si>
  <si>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</si>
  <si>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</si>
  <si>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</si>
  <si>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</si>
  <si>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</si>
  <si>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</si>
  <si>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</si>
  <si>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</si>
  <si>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</si>
  <si>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</si>
  <si>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</si>
  <si>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</si>
  <si>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</si>
  <si>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</si>
  <si>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</si>
  <si>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</si>
  <si>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</si>
  <si>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</si>
  <si>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</si>
  <si>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</si>
  <si>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</si>
  <si>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</si>
  <si>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</si>
  <si>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</si>
  <si>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</si>
  <si>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</si>
  <si>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</si>
  <si>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</si>
  <si>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</si>
  <si>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</si>
  <si>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</si>
  <si>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</si>
  <si>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</si>
  <si>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</si>
  <si>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</si>
  <si>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</si>
  <si>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</si>
  <si>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</si>
  <si>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</si>
  <si>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</si>
  <si>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</si>
  <si>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</si>
  <si>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</si>
  <si>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</si>
  <si>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</si>
  <si>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</si>
  <si>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</si>
  <si>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</si>
  <si>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</si>
  <si>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</si>
  <si>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</si>
  <si>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</si>
  <si>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</si>
  <si>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</si>
  <si>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</si>
  <si>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</si>
  <si>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</si>
  <si>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</si>
  <si>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</si>
  <si>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</si>
  <si>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</si>
  <si>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</si>
  <si>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</si>
  <si>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</si>
  <si>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</si>
  <si>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</si>
  <si>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</si>
  <si>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</si>
  <si>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</si>
  <si>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</si>
  <si>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</si>
  <si>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</si>
  <si>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</si>
  <si>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</si>
  <si>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</si>
  <si>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</si>
  <si>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</si>
  <si>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</si>
  <si>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</si>
  <si>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</si>
  <si>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</si>
  <si>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</si>
  <si>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</si>
  <si>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</si>
  <si>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</si>
  <si>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</si>
  <si>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</si>
  <si>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</si>
  <si>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</si>
  <si>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</si>
  <si>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</si>
  <si>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</si>
  <si>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</si>
  <si>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</si>
  <si>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</si>
  <si>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</si>
  <si>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</si>
  <si>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</si>
  <si>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</si>
  <si>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</si>
  <si>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</si>
  <si>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</si>
  <si>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</si>
  <si>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</si>
  <si>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</si>
  <si>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</si>
  <si>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</si>
  <si>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</si>
  <si>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</si>
  <si>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</si>
  <si>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</si>
  <si>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</si>
  <si>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</si>
  <si>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</si>
  <si>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</si>
  <si>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</si>
  <si>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</si>
  <si>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</si>
  <si>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</si>
  <si>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</si>
  <si>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</si>
  <si>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</si>
  <si>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</si>
  <si>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</si>
  <si>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</si>
  <si>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</si>
  <si>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</si>
  <si>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</si>
  <si>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</si>
  <si>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</si>
  <si>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</si>
  <si>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</si>
  <si>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</si>
  <si>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</si>
  <si>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</si>
  <si>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</si>
  <si>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</si>
  <si>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</si>
  <si>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</si>
  <si>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</si>
  <si>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</si>
  <si>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</si>
  <si>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</si>
  <si>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</si>
  <si>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</si>
  <si>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</si>
  <si>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</si>
  <si>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</si>
  <si>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</si>
  <si>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</si>
  <si>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</si>
  <si>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</si>
  <si>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</si>
  <si>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</si>
  <si>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</si>
  <si>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</si>
  <si>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</si>
  <si>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</si>
  <si>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</si>
  <si>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</si>
  <si>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</si>
  <si>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</si>
  <si>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</si>
  <si>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</si>
  <si>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</si>
  <si>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</si>
  <si>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</si>
  <si>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</si>
  <si>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</si>
  <si>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</si>
  <si>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</si>
  <si>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</si>
  <si>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</si>
  <si>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</si>
  <si>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</si>
  <si>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</si>
  <si>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</si>
  <si>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</si>
  <si>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</si>
  <si>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</si>
  <si>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</si>
  <si>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</si>
  <si>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</si>
  <si>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</si>
  <si>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</si>
  <si>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</si>
  <si>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</si>
  <si>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</si>
  <si>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</si>
  <si>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</si>
  <si>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</si>
  <si>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</si>
  <si>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</si>
  <si>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</si>
  <si>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</si>
  <si>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</si>
  <si>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</si>
  <si>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</si>
  <si>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</si>
  <si>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</si>
  <si>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</si>
  <si>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</si>
  <si>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</si>
  <si>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</si>
  <si>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</si>
  <si>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</si>
  <si>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</si>
  <si>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</si>
  <si>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</si>
  <si>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</si>
  <si>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</si>
  <si>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</si>
  <si>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</si>
  <si>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</si>
  <si>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</si>
  <si>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</si>
  <si>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</si>
  <si>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</si>
  <si>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</si>
  <si>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</si>
  <si>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</si>
  <si>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</si>
  <si>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</si>
  <si>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</si>
  <si>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</si>
  <si>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</si>
  <si>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</si>
  <si>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</si>
  <si>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</si>
  <si>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</si>
  <si>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</si>
  <si>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</si>
  <si>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</si>
  <si>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</si>
  <si>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</si>
  <si>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</si>
  <si>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</si>
  <si>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</si>
  <si>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</si>
  <si>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</si>
  <si>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</si>
  <si>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</si>
  <si>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</si>
  <si>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</si>
  <si>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</si>
  <si>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</si>
  <si>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</si>
  <si>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</si>
  <si>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</si>
  <si>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</si>
  <si>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</si>
  <si>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</si>
  <si>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</si>
  <si>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</si>
  <si>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</si>
  <si>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</si>
  <si>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</si>
  <si>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</si>
  <si>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</si>
  <si>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</si>
  <si>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</si>
  <si>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</si>
  <si>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</si>
  <si>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</si>
  <si>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</si>
  <si>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</si>
  <si>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</si>
  <si>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</si>
  <si>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</si>
  <si>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</si>
  <si>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</si>
  <si>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</si>
  <si>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</si>
  <si>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</si>
  <si>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</si>
  <si>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</si>
  <si>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</si>
  <si>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</si>
  <si>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</si>
  <si>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</si>
  <si>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</si>
  <si>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</si>
  <si>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</si>
  <si>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</si>
  <si>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</si>
  <si>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</si>
  <si>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</si>
  <si>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</si>
  <si>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</si>
  <si>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</si>
  <si>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</si>
  <si>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</si>
  <si>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</si>
  <si>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</si>
  <si>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</si>
  <si>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</si>
  <si>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</si>
  <si>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</si>
  <si>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</si>
  <si>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</si>
  <si>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</si>
  <si>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</si>
  <si>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</si>
  <si>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</si>
  <si>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</si>
  <si>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</si>
  <si>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</si>
  <si>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</si>
  <si>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</si>
  <si>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</si>
  <si>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</si>
  <si>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</si>
  <si>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</si>
  <si>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</si>
  <si>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</si>
  <si>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</si>
  <si>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</si>
  <si>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</si>
  <si>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</si>
  <si>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</si>
  <si>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</si>
  <si>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</si>
  <si>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</si>
  <si>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</si>
  <si>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</si>
  <si>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</si>
  <si>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</si>
  <si>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</si>
  <si>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</si>
  <si>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</si>
  <si>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</si>
  <si>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</si>
  <si>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</si>
  <si>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</si>
  <si>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</si>
  <si>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</si>
  <si>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</si>
  <si>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</si>
  <si>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</si>
  <si>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</si>
  <si>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</si>
  <si>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</si>
  <si>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</si>
  <si>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</si>
  <si>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</si>
  <si>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</si>
  <si>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</si>
  <si>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</si>
  <si>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</si>
  <si>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</si>
  <si>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</si>
  <si>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</si>
  <si>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</si>
  <si>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</si>
  <si>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</si>
  <si>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</si>
  <si>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</si>
  <si>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</si>
  <si>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</si>
  <si>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</si>
  <si>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</si>
  <si>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</si>
  <si>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</si>
  <si>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</si>
  <si>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</si>
  <si>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</si>
  <si>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</si>
  <si>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</si>
  <si>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</si>
  <si>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</si>
  <si>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</si>
  <si>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</si>
  <si>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</si>
  <si>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</si>
  <si>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</si>
  <si>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</si>
  <si>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</si>
  <si>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</si>
  <si>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</si>
  <si>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</si>
  <si>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</si>
  <si>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</si>
  <si>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</si>
  <si>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</si>
  <si>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</si>
  <si>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</si>
  <si>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</si>
  <si>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</si>
  <si>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</si>
  <si>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</si>
  <si>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</si>
  <si>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</si>
  <si>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</si>
  <si>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</si>
  <si>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</si>
  <si>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</si>
  <si>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</si>
  <si>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</si>
  <si>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</si>
  <si>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</si>
  <si>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</si>
  <si>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</si>
  <si>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</si>
  <si>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</si>
  <si>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</si>
  <si>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</si>
  <si>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</si>
  <si>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</si>
  <si>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</si>
  <si>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</si>
  <si>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</si>
  <si>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</si>
  <si>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</si>
  <si>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</si>
  <si>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</si>
  <si>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</si>
  <si>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</si>
  <si>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</si>
  <si>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</si>
  <si>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</si>
  <si>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</si>
  <si>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</si>
  <si>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</si>
  <si>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</si>
  <si>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</si>
  <si>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</si>
  <si>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</si>
  <si>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</si>
  <si>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</si>
  <si>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</si>
  <si>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</si>
  <si>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</si>
  <si>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</si>
  <si>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</si>
  <si>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</si>
  <si>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</si>
  <si>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</si>
  <si>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</si>
  <si>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</si>
  <si>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</si>
  <si>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</si>
  <si>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</si>
  <si>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</si>
  <si>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</si>
  <si>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</si>
  <si>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</si>
  <si>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</si>
  <si>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</si>
  <si>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</si>
  <si>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</si>
  <si>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</si>
  <si>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</si>
  <si>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</si>
  <si>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</si>
  <si>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</si>
  <si>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</si>
  <si>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</si>
  <si>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</si>
  <si>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</si>
  <si>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</si>
  <si>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</si>
  <si>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</si>
  <si>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</si>
  <si>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</si>
  <si>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</si>
  <si>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</si>
  <si>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</si>
  <si>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</si>
  <si>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</si>
  <si>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</si>
  <si>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</si>
  <si>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</si>
  <si>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</si>
  <si>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</si>
  <si>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</si>
  <si>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</si>
  <si>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</si>
  <si>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</si>
  <si>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</si>
  <si>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</si>
  <si>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</si>
  <si>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</si>
  <si>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</si>
  <si>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</si>
  <si>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</si>
  <si>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</si>
  <si>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</si>
  <si>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</si>
  <si>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</si>
  <si>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</si>
  <si>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</si>
  <si>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</si>
  <si>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</si>
  <si>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</si>
  <si>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</si>
  <si>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</si>
  <si>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</si>
  <si>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</si>
  <si>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</si>
  <si>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</si>
  <si>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</si>
  <si>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</si>
  <si>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</si>
  <si>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</si>
  <si>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</si>
  <si>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</si>
  <si>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</si>
  <si>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</si>
  <si>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</si>
  <si>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</si>
  <si>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</si>
  <si>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</si>
  <si>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</si>
  <si>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</si>
  <si>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</si>
  <si>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</si>
  <si>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</si>
  <si>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</si>
  <si>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</si>
  <si>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</si>
  <si>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</si>
  <si>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</si>
  <si>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</si>
  <si>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</si>
  <si>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</si>
  <si>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</si>
  <si>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</si>
  <si>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</si>
  <si>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</si>
  <si>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</si>
  <si>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</si>
  <si>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</si>
  <si>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</si>
  <si>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</si>
  <si>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</si>
  <si>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</si>
  <si>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</si>
  <si>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</si>
  <si>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</si>
  <si>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</si>
  <si>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</si>
  <si>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</si>
  <si>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</si>
  <si>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</si>
  <si>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</si>
  <si>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</si>
  <si>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</si>
  <si>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</si>
  <si>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</si>
  <si>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</si>
  <si>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</si>
  <si>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</si>
  <si>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</si>
  <si>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</si>
  <si>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</si>
  <si>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</si>
  <si>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</si>
  <si>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</si>
  <si>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</si>
  <si>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</si>
  <si>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</si>
  <si>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</si>
  <si>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</si>
  <si>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</si>
  <si>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</si>
  <si>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</si>
  <si>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</si>
  <si>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</si>
  <si>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</si>
  <si>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</si>
  <si>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</si>
  <si>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</si>
  <si>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</si>
  <si>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</si>
  <si>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</si>
  <si>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</si>
  <si>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</si>
  <si>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</si>
  <si>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</si>
  <si>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</si>
  <si>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</si>
  <si>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</si>
  <si>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</si>
  <si>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</si>
  <si>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</si>
  <si>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</si>
  <si>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</si>
  <si>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</si>
  <si>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</si>
  <si>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</si>
  <si>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</si>
  <si>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</si>
  <si>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</si>
  <si>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</si>
  <si>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</si>
  <si>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</si>
  <si>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</si>
  <si>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</si>
  <si>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</si>
  <si>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</si>
  <si>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</si>
  <si>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</si>
  <si>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</si>
  <si>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</si>
  <si>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</si>
  <si>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</si>
  <si>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</si>
  <si>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</si>
  <si>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</si>
  <si>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</si>
  <si>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</si>
  <si>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</si>
  <si>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</si>
  <si>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</si>
  <si>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</si>
  <si>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</si>
  <si>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</si>
  <si>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</si>
  <si>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</si>
  <si>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</si>
  <si>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</si>
  <si>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</si>
  <si>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</si>
  <si>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</si>
  <si>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</si>
  <si>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</si>
  <si>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</si>
  <si>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</si>
  <si>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</si>
  <si>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</si>
  <si>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</si>
  <si>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</si>
  <si>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</si>
  <si>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</si>
  <si>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</si>
  <si>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</si>
  <si>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</si>
  <si>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</si>
  <si>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</si>
  <si>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</si>
  <si>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</si>
  <si>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</si>
  <si>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</si>
  <si>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</si>
  <si>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</si>
  <si>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</si>
  <si>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</si>
  <si>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</si>
  <si>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</si>
  <si>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</si>
  <si>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</si>
  <si>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</si>
  <si>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</si>
  <si>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</si>
  <si>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</si>
  <si>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</si>
  <si>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</si>
  <si>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</si>
  <si>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</si>
  <si>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</si>
  <si>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</si>
  <si>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</si>
  <si>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</si>
  <si>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</si>
  <si>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</si>
  <si>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</si>
  <si>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</si>
  <si>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</si>
  <si>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</si>
  <si>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</si>
  <si>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</si>
  <si>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</si>
  <si>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</si>
  <si>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</si>
  <si>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</si>
  <si>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</si>
  <si>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</si>
  <si>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</si>
  <si>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</si>
  <si>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</si>
  <si>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</si>
  <si>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</si>
  <si>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</si>
  <si>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</si>
  <si>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</si>
  <si>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</si>
  <si>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</si>
  <si>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</si>
  <si>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</si>
  <si>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</si>
  <si>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</si>
  <si>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</si>
  <si>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</si>
  <si>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</si>
  <si>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</si>
  <si>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</si>
  <si>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</si>
  <si>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</si>
  <si>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</si>
  <si>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</si>
  <si>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</si>
  <si>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</si>
  <si>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</si>
  <si>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</si>
  <si>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</si>
  <si>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</si>
  <si>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</si>
  <si>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</si>
  <si>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</si>
  <si>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</si>
  <si>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</si>
  <si>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</si>
  <si>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</si>
  <si>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</si>
  <si>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</si>
  <si>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</si>
  <si>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</si>
  <si>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</si>
  <si>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</si>
  <si>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</si>
  <si>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</si>
  <si>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</si>
  <si>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</si>
  <si>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</si>
  <si>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</si>
  <si>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</si>
  <si>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</si>
  <si>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</si>
  <si>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</si>
  <si>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</si>
  <si>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</si>
  <si>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</si>
  <si>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</si>
  <si>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</si>
  <si>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</si>
  <si>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</si>
  <si>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</si>
  <si>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</si>
  <si>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</si>
  <si>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</si>
  <si>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</si>
  <si>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</si>
  <si>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</si>
  <si>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</si>
  <si>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</si>
  <si>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</si>
  <si>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</si>
  <si>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</si>
  <si>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</si>
  <si>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</si>
  <si>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</si>
  <si>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</si>
  <si>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</si>
  <si>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</si>
  <si>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</si>
  <si>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</si>
  <si>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</si>
  <si>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</si>
  <si>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</si>
  <si>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</si>
  <si>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</si>
  <si>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</si>
  <si>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</si>
  <si>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</si>
  <si>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</si>
  <si>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</si>
  <si>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</si>
  <si>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</si>
  <si>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</si>
  <si>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</si>
  <si>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</si>
  <si>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</si>
  <si>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</si>
  <si>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</si>
  <si>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</si>
  <si>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</si>
  <si>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</si>
  <si>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</si>
  <si>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</si>
  <si>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</si>
  <si>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</si>
  <si>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</si>
  <si>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</si>
  <si>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</si>
  <si>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</si>
  <si>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</si>
  <si>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</si>
  <si>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</si>
  <si>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</si>
  <si>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</si>
  <si>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</si>
  <si>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</si>
  <si>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</si>
  <si>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</si>
  <si>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</si>
  <si>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</si>
  <si>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</si>
  <si>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</si>
  <si>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</si>
  <si>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</si>
  <si>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</si>
  <si>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</si>
  <si>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</si>
  <si>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</si>
  <si>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</si>
  <si>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</si>
  <si>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</si>
  <si>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</si>
  <si>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</si>
  <si>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</si>
  <si>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</si>
  <si>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</si>
  <si>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</si>
  <si>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</si>
  <si>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</si>
  <si>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</si>
  <si>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</si>
  <si>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</si>
  <si>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</si>
  <si>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</si>
  <si>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</si>
  <si>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</si>
  <si>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</si>
  <si>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</si>
  <si>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</si>
  <si>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</si>
  <si>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</si>
  <si>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</si>
  <si>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</si>
  <si>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</si>
  <si>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</si>
  <si>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</si>
  <si>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</si>
  <si>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</si>
  <si>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</si>
  <si>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</si>
  <si>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</si>
  <si>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</si>
  <si>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</si>
  <si>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</si>
  <si>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</si>
  <si>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</si>
  <si>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</si>
  <si>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</si>
  <si>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</si>
  <si>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</si>
  <si>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</si>
  <si>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</si>
  <si>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</si>
  <si>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</si>
  <si>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</si>
  <si>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</si>
  <si>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</si>
  <si>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</si>
  <si>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</si>
  <si>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</si>
  <si>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</si>
  <si>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</si>
  <si>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</si>
  <si>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</si>
  <si>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</si>
  <si>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</si>
  <si>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</si>
  <si>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</si>
  <si>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</si>
  <si>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</si>
  <si>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</si>
  <si>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</si>
  <si>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</si>
  <si>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</si>
  <si>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</si>
  <si>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</si>
  <si>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</si>
  <si>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</si>
  <si>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</si>
  <si>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</si>
  <si>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</si>
  <si>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</si>
  <si>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</si>
  <si>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</si>
  <si>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</si>
  <si>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</si>
  <si>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</si>
  <si>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</si>
  <si>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</si>
  <si>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</si>
  <si>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</si>
  <si>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</si>
  <si>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</si>
  <si>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</si>
  <si>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</si>
  <si>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</si>
  <si>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</si>
  <si>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</si>
  <si>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</si>
  <si>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</si>
  <si>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</si>
  <si>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</si>
  <si>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</si>
  <si>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</si>
  <si>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</si>
  <si>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</si>
  <si>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</si>
  <si>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</si>
  <si>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</si>
  <si>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</si>
  <si>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</si>
  <si>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</si>
  <si>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</si>
  <si>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</si>
  <si>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</si>
  <si>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</si>
  <si>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</si>
  <si>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</si>
  <si>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</si>
  <si>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</si>
  <si>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</si>
  <si>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</si>
  <si>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</si>
  <si>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</si>
  <si>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</si>
  <si>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</si>
  <si>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</si>
  <si>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</si>
  <si>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</si>
  <si>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</si>
  <si>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</si>
  <si>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</si>
  <si>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</si>
  <si>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</si>
  <si>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</si>
  <si>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</si>
  <si>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</si>
  <si>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</si>
  <si>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</si>
  <si>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</si>
  <si>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</si>
  <si>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</si>
  <si>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</si>
  <si>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</si>
  <si>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</si>
  <si>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</si>
  <si>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</si>
  <si>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</si>
  <si>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</si>
  <si>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</si>
  <si>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</si>
  <si>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</si>
  <si>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</si>
  <si>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</si>
  <si>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</si>
  <si>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</si>
  <si>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</si>
  <si>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</si>
  <si>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</si>
  <si>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</si>
  <si>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</si>
  <si>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</si>
  <si>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</si>
  <si>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</si>
  <si>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</si>
  <si>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</si>
  <si>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</si>
  <si>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</si>
  <si>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</si>
  <si>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</si>
  <si>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</si>
  <si>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</si>
  <si>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</si>
  <si>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</si>
  <si>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</si>
  <si>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</si>
  <si>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</si>
  <si>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</si>
  <si>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</si>
  <si>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</si>
  <si>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</si>
  <si>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</si>
  <si>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</si>
  <si>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</si>
  <si>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</si>
  <si>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</si>
  <si>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</si>
  <si>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</si>
  <si>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</si>
  <si>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</si>
  <si>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</si>
  <si>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</si>
  <si>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</si>
  <si>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</si>
  <si>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</si>
  <si>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</si>
  <si>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</si>
  <si>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</si>
  <si>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</si>
  <si>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</si>
  <si>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</si>
  <si>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</si>
  <si>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</si>
  <si>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</si>
  <si>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</si>
  <si>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</si>
  <si>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</si>
  <si>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</si>
  <si>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</si>
  <si>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</si>
  <si>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</si>
  <si>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</si>
  <si>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</si>
  <si>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</si>
  <si>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</si>
  <si>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</si>
  <si>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</si>
  <si>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</si>
  <si>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</si>
  <si>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</si>
  <si>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</si>
  <si>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</si>
  <si>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</si>
  <si>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</si>
  <si>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</si>
  <si>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</si>
  <si>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</si>
  <si>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</si>
  <si>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</si>
  <si>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</si>
  <si>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</si>
  <si>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</si>
  <si>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</si>
  <si>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</si>
  <si>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</si>
  <si>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</si>
  <si>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</si>
  <si>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</si>
  <si>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</si>
  <si>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</si>
  <si>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</si>
  <si>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</si>
  <si>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</si>
  <si>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</si>
  <si>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</si>
  <si>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</si>
  <si>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</si>
  <si>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</si>
  <si>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</si>
  <si>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</si>
  <si>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</si>
  <si>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</si>
  <si>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</si>
  <si>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</si>
  <si>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</si>
  <si>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</si>
  <si>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</si>
  <si>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</si>
  <si>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</si>
  <si>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</si>
  <si>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</si>
  <si>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</si>
  <si>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</si>
  <si>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</si>
  <si>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</si>
  <si>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</si>
  <si>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</si>
  <si>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</si>
  <si>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</si>
  <si>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</si>
  <si>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</si>
  <si>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</si>
  <si>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</si>
  <si>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</si>
  <si>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</si>
  <si>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</si>
  <si>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</si>
  <si>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</si>
  <si>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</si>
  <si>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</si>
  <si>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</si>
  <si>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</si>
  <si>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</si>
  <si>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</si>
  <si>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</si>
  <si>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</si>
  <si>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</si>
  <si>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</si>
  <si>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</si>
  <si>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</si>
  <si>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</si>
  <si>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</si>
  <si>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</si>
  <si>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</si>
  <si>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</si>
  <si>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</si>
  <si>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</si>
  <si>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</si>
  <si>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</si>
  <si>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</si>
  <si>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</si>
  <si>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</si>
  <si>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</si>
  <si>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</si>
  <si>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</si>
  <si>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</si>
  <si>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</si>
  <si>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</si>
  <si>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</si>
  <si>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</si>
  <si>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</si>
  <si>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</si>
  <si>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</si>
  <si>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</si>
  <si>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</si>
  <si>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</si>
  <si>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</si>
  <si>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</si>
  <si>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</si>
  <si>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</si>
  <si>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</si>
  <si>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</si>
  <si>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</si>
  <si>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</si>
  <si>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</si>
  <si>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</si>
  <si>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</si>
  <si>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</si>
  <si>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</si>
  <si>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</si>
  <si>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</si>
  <si>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</si>
  <si>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</si>
  <si>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</si>
  <si>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</si>
  <si>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</si>
  <si>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</si>
  <si>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</si>
  <si>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</si>
  <si>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</si>
  <si>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</si>
  <si>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</si>
  <si>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</si>
  <si>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</si>
  <si>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</si>
  <si>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</si>
  <si>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</si>
  <si>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</si>
  <si>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</si>
  <si>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</si>
  <si>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</si>
  <si>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</si>
  <si>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</si>
  <si>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</si>
  <si>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</si>
  <si>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</si>
  <si>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</si>
  <si>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</si>
  <si>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</si>
  <si>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</si>
  <si>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</si>
  <si>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</si>
  <si>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</si>
  <si>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</si>
  <si>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</si>
  <si>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</si>
  <si>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</si>
  <si>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</si>
  <si>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</si>
  <si>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</si>
  <si>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</si>
  <si>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</si>
  <si>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</si>
  <si>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</si>
  <si>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</si>
  <si>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</si>
  <si>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</si>
  <si>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</si>
  <si>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</si>
  <si>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</si>
  <si>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</si>
  <si>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</si>
  <si>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</si>
  <si>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</si>
  <si>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</si>
  <si>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</si>
  <si>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</si>
  <si>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</si>
  <si>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</si>
  <si>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</si>
  <si>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</si>
  <si>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</si>
  <si>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</si>
  <si>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</si>
  <si>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</si>
  <si>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</si>
  <si>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</si>
  <si>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</si>
  <si>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</si>
  <si>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</si>
  <si>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</si>
  <si>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</si>
  <si>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</si>
  <si>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</si>
  <si>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</si>
  <si>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</si>
  <si>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</si>
  <si>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</si>
  <si>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</si>
  <si>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</si>
  <si>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</si>
  <si>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</si>
  <si>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</si>
  <si>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</si>
  <si>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</si>
  <si>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</si>
  <si>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</si>
  <si>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</si>
  <si>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</si>
  <si>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</si>
  <si>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</si>
  <si>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</si>
  <si>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</si>
  <si>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</si>
  <si>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</si>
  <si>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</si>
  <si>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</si>
  <si>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</si>
  <si>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</si>
  <si>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</si>
  <si>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</si>
  <si>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</si>
  <si>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</si>
  <si>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</si>
  <si>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</si>
  <si>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</si>
  <si>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</si>
  <si>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</si>
  <si>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</si>
  <si>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</si>
  <si>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</si>
  <si>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</si>
  <si>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</si>
  <si>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</si>
  <si>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</si>
  <si>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</si>
  <si>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</si>
  <si>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</si>
  <si>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</si>
  <si>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</si>
  <si>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</si>
  <si>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</si>
  <si>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</si>
  <si>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</si>
  <si>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</si>
  <si>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</si>
  <si>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</si>
  <si>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</si>
  <si>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</si>
  <si>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</si>
  <si>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</si>
  <si>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</si>
  <si>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</si>
  <si>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</si>
  <si>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</si>
  <si>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</si>
  <si>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</si>
  <si>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</si>
  <si>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</si>
  <si>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</si>
  <si>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</si>
  <si>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</si>
  <si>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</si>
  <si>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</si>
  <si>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</si>
  <si>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</si>
  <si>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</si>
  <si>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</si>
  <si>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</si>
  <si>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</si>
  <si>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</si>
  <si>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</si>
  <si>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</si>
  <si>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</si>
  <si>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</si>
  <si>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</si>
  <si>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</si>
  <si>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</si>
  <si>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</si>
  <si>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</si>
  <si>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</si>
  <si>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</si>
  <si>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</si>
  <si>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</si>
  <si>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</si>
  <si>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</si>
  <si>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</si>
  <si>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</si>
  <si>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</si>
  <si>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</si>
  <si>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</si>
  <si>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</si>
  <si>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</si>
  <si>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</si>
  <si>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</si>
  <si>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</si>
  <si>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</si>
  <si>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</si>
  <si>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</si>
  <si>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</si>
  <si>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</si>
  <si>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</si>
  <si>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</si>
  <si>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</si>
  <si>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</si>
  <si>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</si>
  <si>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</si>
  <si>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</si>
  <si>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</si>
  <si>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</si>
  <si>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</si>
  <si>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</si>
  <si>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</si>
  <si>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</si>
  <si>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</si>
  <si>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</si>
  <si>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</si>
  <si>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</si>
  <si>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</si>
  <si>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</si>
  <si>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</si>
  <si>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</si>
  <si>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</si>
  <si>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</si>
  <si>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</si>
  <si>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</si>
  <si>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</si>
  <si>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</si>
  <si>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</si>
  <si>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</si>
  <si>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</si>
  <si>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</si>
  <si>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</si>
  <si>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</si>
  <si>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</si>
  <si>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</si>
  <si>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</si>
  <si>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</si>
  <si>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</si>
  <si>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</si>
  <si>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</si>
  <si>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</si>
  <si>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</si>
  <si>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</si>
  <si>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</si>
  <si>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</si>
  <si>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</si>
  <si>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</si>
  <si>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</si>
  <si>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</si>
  <si>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</si>
  <si>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</si>
  <si>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</si>
  <si>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</si>
  <si>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</si>
  <si>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</si>
  <si>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</si>
  <si>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</si>
  <si>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</si>
  <si>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</si>
  <si>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</si>
  <si>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</si>
  <si>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</si>
  <si>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</si>
  <si>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</si>
  <si>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</si>
  <si>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</si>
  <si>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</si>
  <si>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</si>
  <si>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</si>
  <si>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</si>
  <si>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</si>
  <si>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</si>
  <si>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</si>
  <si>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</si>
  <si>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</si>
  <si>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</si>
  <si>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</si>
  <si>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</si>
  <si>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</si>
  <si>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</si>
  <si>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</si>
  <si>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</si>
  <si>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</si>
  <si>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</si>
  <si>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</si>
  <si>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</si>
  <si>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</si>
  <si>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</si>
  <si>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</si>
  <si>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</si>
  <si>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</si>
  <si>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</si>
  <si>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</si>
  <si>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</si>
  <si>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</si>
  <si>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</si>
  <si>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</si>
  <si>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</si>
  <si>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</si>
  <si>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</si>
  <si>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</si>
  <si>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</si>
  <si>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</si>
  <si>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</si>
  <si>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</si>
  <si>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</si>
  <si>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</si>
  <si>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</si>
  <si>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</si>
  <si>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</si>
  <si>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</si>
  <si>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</si>
  <si>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</si>
  <si>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</si>
  <si>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</si>
  <si>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</si>
  <si>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</si>
  <si>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</si>
  <si>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</si>
  <si>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</si>
  <si>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</si>
  <si>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</si>
  <si>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</si>
  <si>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</si>
  <si>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</si>
  <si>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</si>
  <si>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</si>
  <si>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</si>
  <si>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</si>
  <si>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</si>
  <si>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</si>
  <si>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</si>
  <si>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</si>
  <si>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</si>
  <si>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</si>
  <si>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</si>
  <si>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</si>
  <si>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</si>
  <si>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</si>
  <si>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</si>
  <si>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</si>
  <si>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</si>
  <si>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</si>
  <si>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</si>
  <si>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</si>
  <si>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</si>
  <si>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</si>
  <si>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</si>
  <si>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</si>
  <si>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</si>
  <si>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</si>
  <si>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</si>
  <si>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</si>
  <si>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</si>
  <si>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</si>
  <si>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</si>
  <si>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</si>
  <si>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</si>
  <si>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</si>
  <si>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</si>
  <si>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</si>
  <si>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</si>
  <si>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</si>
  <si>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</si>
  <si>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</si>
  <si>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</si>
  <si>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</si>
  <si>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</si>
  <si>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</si>
  <si>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</si>
  <si>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</si>
  <si>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</si>
  <si>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</si>
  <si>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</si>
  <si>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</si>
  <si>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</si>
  <si>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</si>
  <si>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</si>
  <si>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</si>
  <si>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</si>
  <si>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</si>
  <si>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</si>
  <si>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</si>
  <si>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</si>
  <si>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</si>
  <si>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</si>
  <si>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</si>
  <si>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</si>
  <si>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</si>
  <si>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</si>
  <si>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</si>
  <si>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</si>
  <si>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</si>
  <si>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</si>
  <si>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</si>
  <si>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</si>
  <si>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</si>
  <si>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</si>
  <si>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</si>
  <si>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</si>
  <si>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</si>
  <si>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</si>
  <si>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</si>
  <si>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</si>
  <si>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</si>
  <si>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</si>
  <si>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</si>
  <si>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</si>
  <si>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</si>
  <si>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</si>
  <si>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</si>
  <si>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</si>
  <si>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</si>
  <si>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</si>
  <si>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</si>
  <si>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</si>
  <si>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</si>
  <si>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</si>
  <si>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</si>
  <si>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</si>
  <si>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</si>
  <si>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</si>
  <si>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</si>
  <si>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</si>
  <si>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</si>
  <si>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</si>
  <si>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</si>
  <si>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</si>
  <si>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</si>
  <si>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</si>
  <si>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</si>
  <si>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</si>
  <si>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</si>
  <si>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</si>
  <si>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</si>
  <si>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</si>
  <si>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</si>
  <si>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</si>
  <si>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</si>
  <si>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</si>
  <si>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</si>
  <si>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</si>
  <si>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</si>
  <si>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</si>
  <si>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</si>
  <si>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</si>
  <si>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</si>
  <si>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</si>
  <si>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</si>
  <si>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</si>
  <si>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</si>
  <si>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</si>
  <si>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</si>
  <si>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</si>
  <si>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</si>
  <si>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</si>
  <si>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</si>
  <si>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</si>
  <si>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</si>
  <si>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</si>
  <si>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</si>
  <si>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</si>
  <si>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</si>
  <si>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</si>
  <si>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</si>
  <si>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</si>
  <si>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</si>
  <si>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</si>
  <si>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</si>
  <si>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</si>
  <si>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</si>
  <si>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</si>
  <si>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</si>
  <si>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</si>
  <si>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</si>
  <si>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</si>
  <si>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</si>
  <si>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</si>
  <si>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</si>
  <si>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</si>
  <si>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</si>
  <si>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</si>
  <si>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</si>
  <si>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</si>
  <si>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</si>
  <si>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</si>
  <si>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</si>
  <si>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</si>
  <si>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</si>
  <si>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</si>
  <si>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</si>
  <si>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</si>
  <si>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</si>
  <si>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</si>
  <si>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</si>
  <si>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</si>
  <si>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</si>
  <si>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</si>
  <si>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</si>
  <si>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</si>
  <si>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</si>
  <si>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</si>
  <si>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</si>
  <si>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</si>
  <si>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</si>
  <si>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</si>
  <si>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</si>
  <si>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</si>
  <si>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</si>
  <si>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</si>
  <si>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</si>
  <si>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</si>
  <si>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</si>
  <si>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</si>
  <si>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</si>
  <si>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</si>
  <si>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</si>
  <si>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</si>
  <si>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</si>
  <si>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</si>
  <si>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</si>
  <si>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</si>
  <si>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</si>
  <si>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</si>
  <si>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</si>
  <si>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</si>
  <si>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</si>
  <si>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</si>
  <si>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</si>
  <si>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</si>
  <si>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</si>
  <si>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</si>
  <si>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</si>
  <si>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</si>
  <si>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</si>
  <si>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</si>
  <si>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</si>
  <si>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</si>
  <si>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</si>
  <si>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</si>
  <si>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</si>
  <si>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</si>
  <si>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</si>
  <si>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</si>
  <si>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</si>
  <si>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</si>
  <si>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</si>
  <si>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</si>
  <si>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</si>
  <si>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</si>
  <si>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</si>
  <si>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</si>
  <si>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</si>
  <si>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</si>
  <si>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</si>
  <si>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</si>
  <si>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</si>
  <si>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</si>
  <si>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</si>
  <si>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</si>
  <si>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</si>
  <si>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</si>
  <si>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</si>
  <si>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</si>
  <si>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</si>
  <si>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</si>
  <si>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</si>
  <si>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</si>
  <si>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</si>
  <si>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</si>
  <si>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</si>
  <si>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</si>
  <si>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</si>
  <si>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</si>
  <si>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</si>
  <si>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</si>
  <si>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</si>
  <si>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</si>
  <si>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</si>
  <si>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</si>
  <si>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</si>
  <si>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</si>
  <si>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</si>
  <si>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</si>
  <si>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</si>
  <si>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</si>
  <si>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</si>
  <si>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</si>
  <si>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</si>
  <si>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</si>
  <si>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</si>
  <si>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</si>
  <si>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</si>
  <si>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</si>
  <si>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</si>
  <si>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</si>
  <si>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</si>
  <si>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</si>
  <si>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</si>
  <si>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</si>
  <si>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</si>
  <si>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</si>
  <si>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</si>
  <si>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</si>
  <si>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</si>
  <si>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</si>
  <si>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</si>
  <si>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</si>
  <si>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</si>
  <si>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</si>
  <si>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</si>
  <si>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</si>
  <si>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</si>
  <si>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</si>
  <si>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</si>
  <si>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</si>
  <si>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</si>
  <si>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</si>
  <si>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</si>
  <si>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</si>
  <si>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</si>
  <si>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</si>
  <si>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</si>
  <si>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</si>
  <si>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</si>
  <si>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</si>
  <si>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</si>
  <si>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</si>
  <si>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</si>
  <si>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</si>
  <si>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</si>
  <si>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</si>
  <si>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</si>
  <si>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</si>
  <si>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</si>
  <si>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</si>
  <si>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</si>
  <si>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</si>
  <si>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</si>
  <si>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</si>
  <si>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</si>
  <si>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</si>
  <si>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</si>
  <si>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</si>
  <si>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</si>
  <si>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</si>
  <si>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</si>
  <si>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</si>
  <si>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</si>
  <si>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</si>
  <si>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</si>
  <si>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</si>
  <si>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</si>
  <si>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</si>
  <si>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</si>
  <si>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</si>
  <si>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</si>
  <si>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</si>
  <si>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</si>
  <si>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</si>
  <si>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</si>
  <si>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</si>
  <si>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</si>
  <si>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</si>
  <si>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</si>
  <si>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</si>
  <si>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</si>
  <si>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</si>
  <si>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</si>
  <si>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</si>
  <si>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</si>
  <si>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</si>
  <si>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</si>
  <si>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</si>
  <si>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</si>
  <si>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</si>
  <si>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</si>
  <si>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</si>
  <si>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</si>
  <si>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</si>
  <si>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</si>
  <si>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</si>
  <si>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</si>
  <si>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</si>
  <si>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</si>
  <si>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</si>
  <si>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</si>
  <si>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</si>
  <si>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</si>
  <si>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</si>
  <si>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</si>
  <si>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</si>
  <si>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</si>
  <si>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</si>
  <si>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</si>
  <si>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</si>
  <si>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</si>
  <si>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</si>
  <si>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</si>
  <si>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</si>
  <si>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</si>
  <si>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</si>
  <si>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</si>
  <si>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</si>
  <si>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</si>
  <si>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</si>
  <si>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</si>
  <si>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</si>
  <si>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</si>
  <si>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</si>
  <si>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</si>
  <si>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</si>
  <si>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</si>
  <si>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</si>
  <si>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</si>
  <si>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</si>
  <si>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</si>
  <si>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</si>
  <si>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</si>
  <si>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</si>
  <si>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</si>
  <si>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</si>
  <si>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</si>
  <si>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</si>
  <si>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</si>
  <si>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</si>
  <si>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</si>
  <si>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</si>
  <si>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</si>
  <si>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</si>
  <si>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</si>
  <si>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</si>
  <si>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</si>
  <si>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</si>
  <si>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</si>
  <si>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</si>
  <si>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</si>
  <si>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</si>
  <si>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</si>
  <si>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</si>
  <si>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</si>
  <si>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</si>
  <si>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</si>
  <si>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</si>
  <si>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</si>
  <si>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</si>
  <si>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</si>
  <si>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</si>
  <si>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</si>
  <si>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</si>
  <si>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</si>
  <si>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</si>
  <si>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</si>
  <si>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</si>
  <si>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</si>
  <si>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</si>
  <si>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</si>
  <si>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</si>
  <si>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</si>
  <si>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</si>
  <si>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</si>
  <si>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</si>
  <si>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</si>
  <si>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</si>
  <si>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</si>
  <si>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</si>
  <si>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</si>
  <si>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</si>
  <si>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</si>
  <si>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</si>
  <si>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</si>
  <si>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</si>
  <si>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</si>
  <si>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</si>
  <si>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</si>
  <si>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</si>
  <si>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</si>
  <si>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</si>
  <si>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</si>
  <si>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</si>
  <si>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</si>
  <si>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</si>
  <si>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</si>
  <si>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</si>
  <si>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</si>
  <si>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</si>
  <si>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</si>
  <si>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</si>
  <si>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</si>
  <si>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</si>
  <si>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</si>
  <si>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</si>
  <si>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</si>
  <si>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</si>
  <si>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</si>
  <si>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</si>
  <si>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</si>
  <si>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</si>
  <si>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</si>
  <si>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</si>
  <si>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</si>
  <si>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</si>
  <si>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</si>
  <si>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</si>
  <si>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</si>
  <si>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</si>
  <si>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</si>
  <si>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</si>
  <si>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</si>
  <si>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</si>
  <si>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</si>
  <si>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</si>
  <si>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</si>
  <si>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</si>
  <si>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</si>
  <si>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</si>
  <si>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</si>
  <si>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</si>
  <si>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</si>
  <si>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</si>
  <si>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</si>
  <si>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</si>
  <si>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</si>
  <si>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</si>
  <si>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</si>
  <si>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</si>
  <si>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</si>
  <si>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</si>
  <si>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</si>
  <si>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</si>
  <si>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</si>
  <si>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</si>
  <si>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</si>
  <si>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</si>
  <si>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</si>
  <si>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</si>
  <si>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</si>
  <si>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</si>
  <si>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</si>
  <si>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</si>
  <si>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</si>
  <si>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</si>
  <si>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</si>
  <si>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</si>
  <si>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</si>
  <si>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</si>
  <si>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</si>
  <si>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</si>
  <si>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</si>
  <si>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</si>
  <si>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</si>
  <si>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</si>
  <si>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</si>
  <si>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</si>
  <si>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</si>
  <si>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</si>
  <si>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</si>
  <si>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</si>
  <si>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</si>
  <si>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</si>
  <si>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</si>
  <si>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</si>
  <si>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</si>
  <si>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</si>
  <si>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</si>
  <si>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</si>
  <si>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</si>
  <si>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</si>
  <si>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</si>
  <si>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</si>
  <si>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</si>
  <si>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</si>
  <si>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</si>
  <si>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</si>
  <si>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</si>
  <si>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</si>
  <si>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</si>
  <si>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</si>
  <si>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</si>
  <si>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</si>
  <si>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</si>
  <si>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</si>
  <si>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</si>
  <si>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</si>
  <si>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</si>
  <si>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</si>
  <si>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</si>
  <si>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</si>
  <si>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</si>
  <si>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</si>
  <si>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</si>
  <si>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</si>
  <si>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</si>
  <si>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</si>
  <si>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</si>
  <si>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</si>
  <si>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</si>
  <si>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</si>
  <si>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</si>
  <si>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</si>
  <si>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</si>
  <si>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</si>
  <si>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</si>
  <si>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</si>
  <si>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</si>
  <si>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</si>
  <si>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</si>
  <si>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</si>
  <si>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</si>
  <si>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</si>
  <si>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</si>
  <si>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</si>
  <si>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</si>
  <si>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</si>
  <si>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</si>
  <si>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</si>
  <si>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</si>
  <si>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</si>
  <si>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</si>
  <si>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</si>
  <si>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</si>
  <si>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</si>
  <si>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</si>
  <si>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</si>
  <si>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</si>
  <si>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</si>
  <si>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</si>
  <si>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</si>
  <si>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</si>
  <si>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</si>
  <si>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</si>
  <si>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</si>
  <si>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</si>
  <si>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</si>
  <si>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</si>
  <si>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</si>
  <si>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</si>
  <si>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</si>
  <si>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</si>
  <si>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</si>
  <si>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</si>
  <si>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</si>
  <si>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</si>
  <si>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</si>
  <si>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</si>
  <si>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</si>
  <si>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</si>
  <si>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</si>
  <si>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</si>
  <si>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</si>
  <si>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</si>
  <si>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</si>
  <si>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</si>
  <si>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</si>
  <si>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</si>
  <si>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</si>
  <si>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</si>
  <si>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</si>
  <si>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</si>
  <si>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</si>
  <si>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</si>
  <si>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</si>
  <si>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</si>
  <si>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</si>
  <si>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</si>
  <si>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</si>
  <si>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</si>
  <si>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</si>
  <si>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</si>
  <si>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</si>
  <si>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</si>
  <si>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</si>
  <si>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</si>
  <si>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</si>
  <si>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</si>
  <si>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</si>
  <si>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</si>
  <si>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</si>
  <si>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</si>
  <si>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</si>
  <si>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</si>
  <si>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</si>
  <si>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</si>
  <si>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</si>
  <si>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</si>
  <si>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</si>
  <si>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</si>
  <si>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</si>
  <si>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</si>
  <si>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</si>
  <si>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</si>
  <si>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</si>
  <si>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</si>
  <si>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</si>
  <si>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</si>
  <si>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</si>
  <si>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</si>
  <si>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</si>
  <si>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</si>
  <si>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</si>
  <si>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</si>
  <si>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</si>
  <si>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</si>
  <si>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</si>
  <si>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</si>
  <si>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</si>
  <si>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</si>
  <si>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</si>
  <si>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</si>
  <si>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</si>
  <si>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</si>
  <si>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</si>
  <si>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</si>
  <si>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</si>
  <si>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</si>
  <si>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</si>
  <si>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</si>
  <si>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</si>
  <si>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</si>
  <si>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</si>
  <si>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</si>
  <si>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</si>
  <si>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</si>
  <si>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</si>
  <si>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</si>
  <si>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</si>
  <si>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</si>
  <si>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</si>
  <si>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</si>
  <si>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</si>
  <si>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</si>
  <si>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</si>
  <si>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</si>
  <si>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</si>
  <si>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</si>
  <si>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</si>
  <si>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</si>
  <si>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</si>
  <si>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</si>
  <si>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</si>
  <si>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</si>
  <si>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</si>
  <si>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</si>
  <si>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</si>
  <si>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</si>
  <si>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</si>
  <si>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</si>
  <si>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</si>
  <si>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</si>
  <si>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</si>
  <si>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</si>
  <si>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</si>
  <si>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</si>
  <si>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</si>
  <si>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</si>
  <si>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</si>
  <si>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</si>
  <si>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</si>
  <si>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</si>
  <si>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</si>
  <si>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</si>
  <si>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</si>
  <si>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</si>
  <si>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</si>
  <si>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</si>
  <si>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</si>
  <si>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</si>
  <si>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</si>
  <si>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</si>
  <si>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</si>
  <si>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</si>
  <si>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</si>
  <si>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</si>
  <si>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</si>
  <si>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</si>
  <si>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</si>
  <si>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</si>
  <si>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</si>
  <si>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</si>
  <si>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</si>
  <si>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</si>
  <si>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</si>
  <si>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</si>
  <si>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</si>
  <si>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</si>
  <si>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</si>
  <si>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</si>
  <si>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</si>
  <si>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</si>
  <si>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</si>
  <si>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</si>
  <si>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</si>
  <si>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</si>
  <si>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</si>
  <si>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</si>
  <si>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</si>
  <si>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</si>
  <si>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</si>
  <si>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</si>
  <si>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</si>
  <si>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</si>
  <si>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</si>
  <si>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</si>
  <si>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</si>
  <si>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</si>
  <si>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</si>
  <si>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</si>
  <si>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</si>
  <si>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</si>
  <si>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</si>
  <si>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</si>
  <si>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</si>
  <si>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</si>
  <si>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</si>
  <si>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</si>
  <si>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</si>
  <si>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</si>
  <si>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</si>
  <si>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</si>
  <si>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</si>
  <si>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</si>
  <si>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</si>
  <si>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</si>
  <si>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</si>
  <si>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</si>
  <si>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</si>
  <si>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</si>
  <si>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</si>
  <si>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</si>
  <si>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</si>
  <si>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</si>
  <si>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</si>
  <si>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</si>
  <si>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</si>
  <si>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</si>
  <si>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</si>
  <si>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</si>
  <si>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</si>
  <si>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</si>
  <si>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</si>
  <si>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</si>
  <si>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</si>
  <si>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</si>
  <si>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</si>
  <si>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</si>
  <si>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</si>
  <si>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</si>
  <si>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</si>
  <si>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</si>
  <si>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</si>
  <si>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</si>
  <si>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</si>
  <si>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</si>
  <si>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</si>
  <si>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</si>
  <si>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</si>
  <si>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</si>
  <si>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</si>
  <si>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</si>
  <si>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</si>
  <si>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</si>
  <si>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</si>
  <si>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</si>
  <si>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</si>
  <si>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</si>
  <si>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</si>
  <si>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</si>
  <si>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</si>
  <si>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</si>
  <si>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</si>
  <si>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</si>
  <si>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</si>
  <si>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</si>
  <si>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</si>
  <si>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</si>
  <si>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</si>
  <si>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</si>
  <si>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</si>
  <si>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</si>
  <si>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</si>
  <si>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</si>
  <si>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</si>
  <si>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</si>
  <si>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</si>
  <si>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</si>
  <si>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</si>
  <si>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</si>
  <si>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</si>
  <si>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</si>
  <si>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</si>
  <si>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</si>
  <si>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</si>
  <si>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</si>
  <si>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</si>
  <si>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</si>
  <si>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</si>
  <si>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</si>
  <si>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</si>
  <si>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</si>
  <si>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</si>
  <si>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</si>
  <si>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</si>
  <si>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</si>
  <si>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</si>
  <si>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</si>
  <si>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</si>
  <si>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</si>
  <si>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</si>
  <si>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</si>
  <si>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</si>
  <si>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</si>
  <si>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</si>
  <si>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</si>
  <si>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</si>
  <si>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</si>
  <si>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</si>
  <si>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</si>
  <si>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</si>
  <si>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</si>
  <si>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</si>
  <si>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</si>
  <si>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</si>
  <si>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</si>
  <si>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</si>
  <si>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</si>
  <si>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</si>
  <si>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</si>
  <si>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</si>
  <si>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</si>
  <si>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</si>
  <si>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</si>
  <si>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</si>
  <si>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</si>
  <si>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</si>
  <si>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</si>
  <si>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</si>
  <si>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</si>
  <si>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</si>
  <si>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</si>
  <si>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</si>
  <si>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</si>
  <si>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</si>
  <si>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</si>
  <si>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</si>
  <si>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</si>
  <si>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</si>
  <si>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</si>
  <si>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</si>
  <si>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</si>
  <si>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</si>
  <si>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</si>
  <si>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</si>
  <si>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</si>
  <si>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</si>
  <si>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</si>
  <si>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</si>
  <si>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</si>
  <si>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</si>
  <si>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</si>
  <si>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</si>
  <si>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</si>
  <si>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</si>
  <si>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</si>
  <si>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</si>
  <si>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</si>
  <si>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</si>
  <si>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</si>
  <si>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</si>
  <si>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</si>
  <si>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</si>
  <si>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</si>
  <si>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</si>
  <si>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</si>
  <si>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</si>
  <si>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</si>
  <si>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</si>
  <si>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</si>
  <si>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</si>
  <si>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</si>
  <si>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</si>
  <si>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</si>
  <si>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</si>
  <si>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</si>
  <si>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</si>
  <si>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</si>
  <si>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</si>
  <si>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</si>
  <si>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</si>
  <si>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</si>
  <si>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</si>
  <si>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</si>
  <si>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</si>
  <si>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</si>
  <si>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</si>
  <si>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</si>
  <si>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</si>
  <si>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</si>
  <si>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</si>
  <si>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</si>
  <si>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</si>
  <si>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</si>
  <si>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</si>
  <si>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</si>
  <si>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</si>
  <si>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</si>
  <si>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</si>
  <si>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</si>
  <si>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</si>
  <si>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</si>
  <si>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</si>
  <si>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</si>
  <si>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</si>
  <si>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</si>
  <si>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</si>
  <si>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</si>
  <si>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</si>
  <si>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</si>
  <si>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</si>
  <si>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</si>
  <si>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</si>
  <si>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</si>
  <si>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</si>
  <si>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</si>
  <si>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</si>
  <si>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</si>
  <si>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</si>
  <si>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</si>
  <si>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</si>
  <si>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</si>
  <si>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</si>
  <si>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</si>
  <si>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</si>
  <si>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</si>
  <si>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</si>
  <si>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</si>
  <si>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</si>
  <si>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</si>
  <si>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</si>
  <si>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</si>
  <si>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</si>
  <si>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</si>
  <si>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</si>
  <si>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</si>
  <si>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</si>
  <si>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</si>
  <si>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</si>
  <si>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</si>
  <si>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</si>
  <si>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</si>
  <si>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</si>
  <si>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</si>
  <si>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</si>
  <si>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</si>
  <si>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</si>
  <si>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</si>
  <si>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</si>
  <si>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</si>
  <si>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</si>
  <si>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</si>
  <si>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</si>
  <si>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</si>
  <si>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</si>
  <si>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</si>
  <si>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</si>
  <si>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</si>
  <si>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</si>
  <si>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</si>
  <si>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</si>
  <si>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</si>
  <si>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</si>
  <si>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</si>
  <si>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</si>
  <si>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</si>
  <si>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</si>
  <si>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</si>
  <si>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</si>
  <si>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</si>
  <si>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</si>
  <si>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</si>
  <si>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</si>
  <si>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</si>
  <si>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</si>
  <si>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</si>
  <si>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</si>
  <si>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</si>
  <si>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</si>
  <si>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</si>
  <si>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</si>
  <si>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</si>
  <si>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</si>
  <si>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</si>
  <si>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</si>
  <si>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</si>
  <si>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</si>
  <si>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</si>
  <si>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</si>
  <si>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</si>
  <si>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</si>
  <si>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</si>
  <si>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</si>
  <si>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</si>
  <si>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</si>
  <si>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</si>
  <si>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</si>
  <si>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</si>
  <si>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</si>
  <si>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</si>
  <si>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</si>
  <si>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</si>
  <si>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</si>
  <si>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</si>
  <si>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</si>
  <si>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</si>
  <si>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</si>
  <si>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</si>
  <si>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</si>
  <si>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</si>
  <si>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</si>
  <si>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</si>
  <si>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</si>
  <si>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</si>
  <si>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</si>
  <si>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</si>
  <si>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</si>
  <si>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</si>
  <si>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</si>
  <si>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</si>
  <si>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</si>
  <si>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</si>
  <si>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</si>
  <si>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</si>
  <si>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</si>
  <si>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</si>
  <si>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</si>
  <si>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</si>
  <si>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</si>
  <si>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</si>
  <si>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</si>
  <si>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</si>
  <si>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</si>
  <si>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</si>
  <si>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</si>
  <si>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</si>
  <si>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</si>
  <si>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</si>
  <si>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</si>
  <si>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</si>
  <si>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</si>
  <si>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</si>
  <si>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</si>
  <si>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</si>
  <si>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</si>
  <si>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</si>
  <si>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</si>
  <si>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</si>
  <si>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</si>
  <si>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</si>
  <si>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</si>
  <si>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</si>
  <si>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</si>
  <si>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</si>
  <si>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</si>
  <si>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</si>
  <si>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</si>
  <si>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</si>
  <si>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</si>
  <si>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</si>
  <si>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</si>
  <si>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</si>
  <si>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</si>
  <si>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</si>
  <si>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</si>
  <si>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</si>
  <si>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</si>
  <si>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</si>
  <si>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</si>
  <si>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</si>
  <si>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</si>
  <si>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</si>
  <si>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</si>
  <si>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</si>
  <si>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</si>
  <si>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</si>
  <si>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</si>
  <si>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</si>
  <si>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</si>
  <si>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</si>
  <si>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</si>
  <si>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</si>
  <si>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</si>
  <si>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</si>
  <si>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</si>
  <si>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</si>
  <si>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</si>
  <si>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</si>
  <si>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</si>
  <si>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</si>
  <si>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</si>
  <si>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</si>
  <si>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</si>
  <si>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</si>
  <si>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</si>
  <si>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</si>
  <si>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</si>
  <si>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</si>
  <si>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</si>
  <si>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</si>
  <si>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</si>
  <si>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</si>
  <si>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</si>
  <si>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</si>
  <si>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</si>
  <si>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</si>
  <si>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</si>
  <si>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</si>
  <si>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</si>
  <si>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</si>
  <si>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</si>
  <si>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</si>
  <si>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</si>
  <si>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</si>
  <si>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</si>
  <si>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</si>
  <si>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</si>
  <si>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</si>
  <si>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</si>
  <si>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</si>
  <si>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</si>
  <si>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</si>
  <si>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</si>
  <si>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</si>
  <si>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</si>
  <si>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</si>
  <si>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</si>
  <si>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</si>
  <si>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</si>
  <si>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</si>
  <si>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</si>
  <si>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</si>
  <si>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</si>
  <si>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</si>
  <si>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</si>
  <si>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</si>
  <si>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</si>
  <si>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</si>
  <si>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</si>
  <si>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</si>
  <si>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</si>
  <si>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</si>
  <si>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</si>
  <si>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</si>
  <si>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</si>
  <si>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</si>
  <si>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</si>
  <si>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</si>
  <si>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</si>
  <si>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</si>
  <si>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</si>
  <si>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</si>
  <si>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</si>
  <si>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</si>
  <si>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</si>
  <si>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</si>
  <si>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</si>
  <si>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</si>
  <si>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</si>
  <si>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</si>
  <si>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</si>
  <si>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</si>
  <si>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</si>
  <si>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</si>
  <si>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</si>
  <si>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</si>
  <si>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</si>
  <si>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</si>
  <si>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</si>
  <si>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</si>
  <si>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</si>
  <si>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</si>
  <si>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</si>
  <si>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</si>
  <si>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</si>
  <si>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</si>
  <si>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</si>
  <si>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</si>
  <si>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</si>
  <si>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</si>
  <si>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</si>
  <si>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</si>
  <si>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</si>
  <si>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</si>
  <si>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</si>
  <si>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</si>
  <si>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</si>
  <si>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</si>
  <si>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</si>
  <si>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</si>
  <si>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</si>
  <si>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</si>
  <si>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</si>
  <si>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</si>
  <si>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</si>
  <si>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</si>
  <si>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</si>
  <si>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</si>
  <si>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</si>
  <si>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</si>
  <si>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</si>
  <si>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</si>
  <si>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</si>
  <si>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</si>
  <si>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</si>
  <si>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</si>
  <si>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</si>
  <si>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</si>
  <si>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</si>
  <si>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</si>
  <si>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</si>
  <si>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</si>
  <si>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</si>
  <si>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</si>
  <si>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</si>
  <si>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</si>
  <si>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</si>
  <si>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</si>
  <si>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</si>
  <si>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</si>
  <si>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</si>
  <si>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</si>
  <si>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</si>
  <si>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</si>
  <si>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</si>
  <si>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</si>
  <si>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</si>
  <si>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</si>
  <si>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</si>
  <si>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</si>
  <si>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</si>
  <si>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</si>
  <si>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</si>
  <si>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</si>
  <si>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</si>
  <si>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</si>
  <si>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</si>
  <si>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</si>
  <si>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</si>
  <si>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</si>
  <si>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</si>
  <si>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</si>
  <si>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</si>
  <si>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</si>
  <si>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</si>
  <si>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</si>
  <si>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</si>
  <si>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</si>
  <si>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</si>
  <si>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</si>
  <si>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</si>
  <si>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</si>
  <si>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</si>
  <si>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</si>
  <si>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</si>
  <si>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</si>
  <si>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</si>
  <si>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</si>
  <si>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</si>
  <si>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</si>
  <si>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</si>
  <si>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</si>
  <si>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</si>
  <si>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</si>
  <si>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</si>
  <si>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</si>
  <si>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</si>
  <si>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</si>
  <si>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</si>
  <si>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</si>
  <si>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</si>
  <si>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</si>
  <si>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</si>
  <si>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</si>
  <si>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</si>
  <si>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</si>
  <si>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</si>
  <si>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</si>
  <si>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</si>
  <si>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</si>
  <si>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</si>
  <si>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</si>
  <si>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</si>
  <si>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</si>
  <si>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</si>
  <si>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</si>
  <si>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</si>
  <si>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</si>
  <si>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</si>
  <si>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</si>
  <si>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</si>
  <si>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</si>
  <si>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</si>
  <si>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</si>
  <si>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</si>
  <si>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</si>
  <si>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</si>
  <si>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</si>
  <si>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</si>
  <si>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</si>
  <si>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</si>
  <si>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</si>
  <si>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</si>
  <si>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</si>
  <si>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</si>
  <si>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</si>
  <si>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</si>
  <si>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</si>
  <si>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</si>
  <si>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</si>
  <si>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</si>
  <si>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</si>
  <si>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</si>
  <si>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</si>
  <si>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</si>
  <si>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</si>
  <si>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</si>
  <si>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</si>
  <si>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</si>
  <si>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</si>
  <si>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</si>
  <si>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</si>
  <si>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</si>
  <si>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</si>
  <si>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</si>
  <si>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</si>
  <si>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</si>
  <si>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</si>
  <si>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</si>
  <si>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</si>
  <si>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</si>
  <si>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</si>
  <si>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</si>
  <si>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</si>
  <si>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</si>
  <si>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</si>
  <si>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</si>
  <si>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</si>
  <si>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</si>
  <si>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</si>
  <si>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</si>
  <si>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</si>
  <si>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</si>
  <si>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</si>
  <si>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</si>
  <si>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</si>
  <si>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</si>
  <si>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</si>
  <si>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</si>
  <si>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</si>
  <si>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</si>
  <si>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</si>
  <si>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</si>
  <si>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</si>
  <si>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</si>
  <si>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</si>
  <si>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</si>
  <si>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</si>
  <si>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</si>
  <si>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</si>
  <si>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</si>
  <si>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</si>
  <si>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</si>
  <si>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</si>
  <si>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</si>
  <si>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</si>
  <si>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</si>
  <si>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</si>
  <si>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</si>
  <si>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</si>
  <si>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</si>
  <si>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</si>
  <si>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</si>
  <si>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</si>
  <si>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</si>
  <si>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</si>
  <si>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</si>
  <si>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</si>
  <si>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</si>
  <si>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</si>
  <si>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</si>
  <si>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</si>
  <si>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</si>
  <si>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</si>
  <si>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</si>
  <si>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</si>
  <si>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</si>
  <si>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</si>
  <si>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</si>
  <si>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</si>
  <si>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</si>
  <si>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</si>
  <si>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</si>
  <si>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</si>
  <si>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</si>
  <si>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</si>
  <si>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</si>
  <si>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</si>
  <si>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</si>
  <si>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</si>
  <si>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</si>
  <si>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</si>
  <si>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</si>
  <si>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</si>
  <si>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</si>
  <si>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</si>
  <si>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</si>
  <si>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</si>
  <si>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</si>
  <si>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</si>
  <si>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</si>
  <si>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</si>
  <si>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</si>
  <si>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</si>
  <si>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</si>
  <si>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</si>
  <si>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</si>
  <si>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</si>
  <si>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</si>
  <si>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</si>
  <si>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</si>
  <si>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</si>
  <si>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</si>
  <si>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</si>
  <si>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</si>
  <si>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</si>
  <si>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</si>
  <si>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</si>
  <si>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</si>
  <si>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</si>
  <si>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</si>
  <si>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</si>
  <si>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</si>
  <si>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</si>
  <si>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</si>
  <si>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</si>
  <si>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</si>
  <si>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</si>
  <si>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</si>
  <si>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</si>
  <si>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</si>
  <si>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</si>
  <si>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</si>
  <si>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</si>
  <si>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</si>
  <si>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</si>
  <si>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</si>
  <si>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</si>
  <si>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</si>
  <si>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</si>
  <si>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</si>
  <si>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</si>
  <si>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</si>
  <si>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</si>
  <si>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</si>
  <si>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</si>
  <si>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</si>
  <si>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</si>
  <si>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</si>
  <si>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</si>
  <si>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</si>
  <si>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</si>
  <si>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</si>
  <si>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</si>
  <si>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</si>
  <si>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</si>
  <si>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</si>
  <si>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</si>
  <si>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</si>
  <si>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</si>
  <si>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</si>
  <si>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</si>
  <si>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</si>
  <si>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</si>
  <si>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</si>
  <si>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</si>
  <si>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</si>
  <si>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</si>
  <si>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</si>
  <si>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</si>
  <si>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</si>
  <si>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</si>
  <si>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</si>
  <si>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</si>
  <si>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</si>
  <si>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</si>
  <si>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</si>
  <si>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</si>
  <si>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</si>
  <si>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</si>
  <si>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</si>
  <si>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</si>
  <si>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</si>
  <si>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</si>
  <si>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</si>
  <si>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</si>
  <si>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</si>
  <si>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</si>
  <si>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</si>
  <si>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</si>
  <si>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</si>
  <si>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</si>
  <si>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</si>
  <si>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</si>
  <si>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</si>
  <si>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</si>
  <si>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</si>
  <si>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</si>
  <si>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</si>
  <si>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</si>
  <si>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</si>
  <si>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</si>
  <si>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</si>
  <si>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</si>
  <si>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</si>
  <si>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</si>
  <si>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</si>
  <si>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</si>
  <si>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</si>
  <si>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</si>
  <si>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</si>
  <si>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</si>
  <si>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</si>
  <si>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</si>
  <si>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</si>
  <si>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</si>
  <si>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</si>
  <si>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</si>
  <si>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</si>
  <si>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</si>
  <si>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</si>
  <si>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</si>
  <si>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</si>
  <si>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</si>
  <si>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</si>
  <si>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</si>
  <si>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</si>
  <si>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</si>
  <si>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</si>
  <si>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</si>
  <si>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</si>
  <si>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</si>
  <si>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</si>
  <si>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</si>
  <si>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</si>
  <si>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</si>
  <si>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</si>
  <si>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</si>
  <si>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</si>
  <si>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</si>
  <si>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</si>
  <si>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</si>
  <si>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</si>
  <si>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</si>
  <si>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</si>
  <si>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</si>
  <si>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</si>
  <si>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</si>
  <si>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</si>
  <si>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</si>
  <si>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</si>
  <si>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</si>
  <si>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</si>
  <si>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</si>
  <si>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</si>
  <si>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</si>
  <si>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</si>
  <si>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</si>
  <si>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</si>
  <si>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</si>
  <si>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</si>
  <si>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</si>
  <si>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</si>
  <si>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</si>
  <si>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</si>
  <si>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</si>
  <si>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</si>
  <si>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</si>
  <si>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</si>
  <si>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</si>
  <si>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</si>
  <si>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</si>
  <si>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</si>
  <si>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</si>
  <si>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</si>
  <si>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</si>
  <si>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</si>
  <si>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</si>
  <si>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</si>
  <si>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</si>
  <si>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</si>
  <si>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</si>
  <si>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</si>
  <si>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</si>
  <si>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</si>
  <si>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</si>
  <si>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</si>
  <si>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</si>
  <si>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</si>
  <si>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</si>
  <si>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</si>
  <si>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</si>
  <si>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</si>
  <si>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</si>
  <si>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</si>
  <si>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</si>
  <si>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</si>
  <si>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</si>
  <si>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</si>
  <si>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</si>
  <si>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</si>
  <si>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</si>
  <si>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</si>
  <si>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</si>
  <si>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</si>
  <si>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</si>
  <si>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</si>
  <si>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</si>
  <si>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</si>
  <si>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</si>
  <si>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</si>
  <si>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</si>
  <si>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</si>
  <si>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</si>
  <si>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</si>
  <si>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</si>
  <si>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</si>
  <si>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</si>
  <si>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</si>
  <si>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</si>
  <si>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</si>
  <si>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</si>
  <si>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</si>
  <si>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</si>
  <si>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</si>
  <si>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</si>
  <si>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</si>
  <si>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</si>
  <si>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</si>
  <si>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</si>
  <si>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</si>
  <si>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</si>
  <si>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</si>
  <si>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</si>
  <si>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</si>
  <si>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</si>
  <si>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</si>
  <si>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</si>
  <si>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</si>
  <si>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</si>
  <si>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</si>
  <si>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</si>
  <si>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</si>
  <si>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</si>
  <si>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</si>
  <si>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</si>
  <si>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</si>
  <si>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</si>
  <si>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</si>
  <si>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</si>
  <si>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</si>
  <si>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</si>
  <si>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</si>
  <si>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</si>
  <si>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</si>
  <si>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</si>
  <si>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</si>
  <si>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</si>
  <si>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</si>
  <si>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</si>
  <si>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</si>
  <si>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</si>
  <si>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</si>
  <si>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</si>
  <si>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</si>
  <si>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</si>
  <si>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</si>
  <si>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</si>
  <si>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</si>
  <si>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</si>
  <si>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</si>
  <si>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</si>
  <si>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</si>
  <si>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</si>
  <si>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</si>
  <si>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</si>
  <si>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</si>
  <si>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</si>
  <si>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</si>
  <si>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</si>
  <si>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</si>
  <si>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</si>
  <si>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</si>
  <si>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</si>
  <si>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</si>
  <si>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</si>
  <si>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</si>
  <si>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</si>
  <si>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</si>
  <si>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</si>
  <si>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</si>
  <si>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</si>
  <si>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</si>
  <si>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</si>
  <si>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</si>
  <si>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</si>
  <si>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</si>
  <si>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</si>
  <si>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</si>
  <si>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</si>
  <si>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</si>
  <si>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</si>
  <si>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</si>
  <si>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</si>
  <si>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</si>
  <si>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</si>
  <si>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</si>
  <si>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</si>
  <si>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</si>
  <si>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</si>
  <si>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</si>
  <si>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</si>
  <si>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</si>
  <si>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</si>
  <si>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</si>
  <si>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</si>
  <si>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</si>
  <si>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</si>
  <si>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</si>
  <si>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</si>
  <si>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</si>
  <si>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</si>
  <si>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</si>
  <si>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</si>
  <si>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</si>
  <si>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</si>
  <si>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</si>
  <si>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</si>
  <si>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</si>
  <si>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</si>
  <si>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</si>
  <si>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</si>
  <si>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</si>
  <si>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</si>
  <si>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</si>
  <si>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</si>
  <si>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</si>
  <si>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</si>
  <si>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</si>
  <si>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</si>
  <si>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</si>
  <si>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</si>
  <si>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</si>
  <si>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</si>
  <si>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</si>
  <si>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</si>
  <si>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</si>
  <si>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</si>
  <si>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</si>
  <si>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</si>
  <si>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</si>
  <si>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</si>
  <si>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</si>
  <si>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</si>
  <si>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</si>
  <si>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</si>
  <si>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</si>
  <si>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</si>
  <si>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</si>
  <si>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</si>
  <si>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</si>
  <si>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</si>
  <si>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</si>
  <si>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</si>
  <si>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</si>
  <si>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</si>
  <si>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</si>
  <si>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</si>
  <si>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</si>
  <si>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</si>
  <si>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</si>
  <si>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</si>
  <si>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</si>
  <si>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</si>
  <si>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</si>
  <si>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</si>
  <si>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</si>
  <si>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</si>
  <si>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</si>
  <si>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</si>
  <si>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</si>
  <si>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</si>
  <si>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</si>
  <si>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</si>
  <si>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</si>
  <si>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</si>
  <si>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</si>
  <si>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</si>
  <si>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</si>
  <si>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</si>
  <si>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</si>
  <si>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</si>
  <si>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</si>
  <si>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</si>
  <si>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</si>
  <si>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</si>
  <si>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</si>
  <si>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</si>
  <si>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</si>
  <si>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</si>
  <si>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</si>
  <si>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</si>
  <si>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</si>
  <si>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</si>
  <si>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</si>
  <si>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</si>
  <si>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</si>
  <si>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</si>
  <si>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</si>
  <si>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</si>
  <si>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</si>
  <si>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</si>
  <si>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</si>
  <si>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</si>
  <si>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</si>
  <si>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</si>
  <si>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</si>
  <si>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</si>
  <si>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</si>
  <si>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</si>
  <si>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</si>
  <si>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</si>
  <si>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</si>
  <si>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</si>
  <si>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</si>
  <si>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</si>
  <si>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</si>
  <si>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</si>
  <si>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</si>
  <si>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</si>
  <si>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</si>
  <si>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</si>
  <si>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</si>
  <si>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</si>
  <si>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</si>
  <si>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</si>
  <si>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</si>
  <si>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</si>
  <si>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</si>
  <si>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</si>
  <si>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</si>
  <si>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</si>
  <si>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</si>
  <si>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</si>
  <si>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</si>
  <si>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</si>
  <si>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</si>
  <si>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</si>
  <si>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</si>
  <si>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</si>
  <si>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</si>
  <si>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</si>
  <si>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</si>
  <si>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</si>
  <si>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</si>
  <si>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</si>
  <si>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</si>
  <si>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</si>
  <si>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</si>
  <si>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</si>
  <si>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</si>
  <si>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</si>
  <si>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</si>
  <si>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</si>
  <si>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</si>
  <si>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</si>
  <si>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</si>
  <si>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</si>
  <si>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</si>
  <si>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</si>
  <si>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</si>
  <si>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</si>
  <si>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</si>
  <si>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</si>
  <si>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</si>
  <si>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</si>
  <si>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</si>
  <si>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</si>
  <si>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</si>
  <si>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</si>
  <si>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</si>
  <si>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</si>
  <si>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</si>
  <si>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</si>
  <si>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</si>
  <si>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</si>
  <si>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</si>
  <si>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</si>
  <si>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</si>
  <si>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</si>
  <si>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</si>
  <si>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</si>
  <si>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</si>
  <si>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</si>
  <si>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</si>
  <si>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</si>
  <si>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</si>
  <si>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</si>
  <si>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</si>
  <si>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</si>
  <si>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</si>
  <si>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</si>
  <si>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</si>
  <si>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</si>
  <si>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</si>
  <si>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</si>
  <si>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</si>
  <si>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</si>
  <si>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</si>
  <si>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</si>
  <si>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</si>
  <si>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</si>
  <si>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</si>
  <si>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</si>
  <si>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</si>
  <si>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</si>
  <si>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</si>
  <si>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</si>
  <si>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</si>
  <si>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</si>
  <si>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</si>
  <si>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</si>
  <si>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</si>
  <si>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</si>
  <si>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</si>
  <si>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</si>
  <si>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</si>
  <si>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</si>
  <si>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</si>
  <si>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</si>
  <si>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</si>
  <si>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</si>
  <si>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</si>
  <si>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</si>
  <si>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</si>
  <si>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</si>
  <si>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</si>
  <si>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</si>
  <si>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</si>
  <si>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</si>
  <si>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</si>
  <si>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</si>
  <si>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</si>
  <si>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</si>
  <si>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</si>
  <si>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</si>
  <si>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</si>
  <si>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</si>
  <si>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</si>
  <si>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</si>
  <si>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</si>
  <si>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</si>
  <si>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</si>
  <si>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</si>
  <si>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</si>
  <si>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</si>
  <si>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</si>
  <si>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</si>
  <si>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</si>
  <si>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</si>
  <si>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</si>
  <si>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</si>
  <si>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</si>
  <si>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</si>
  <si>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</si>
  <si>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</si>
  <si>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</si>
  <si>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</si>
  <si>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</si>
  <si>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</si>
  <si>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</si>
  <si>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</si>
  <si>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</si>
  <si>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</si>
  <si>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</si>
  <si>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</si>
  <si>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</si>
  <si>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</si>
  <si>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</si>
  <si>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</si>
  <si>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</si>
  <si>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</si>
  <si>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</si>
  <si>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</si>
  <si>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</si>
  <si>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</si>
  <si>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</si>
  <si>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</si>
  <si>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</si>
  <si>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</si>
  <si>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</si>
  <si>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</si>
  <si>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</si>
  <si>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</si>
  <si>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</si>
  <si>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</si>
  <si>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</si>
  <si>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</si>
  <si>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</si>
  <si>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</si>
  <si>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</si>
  <si>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</si>
  <si>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</si>
  <si>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</si>
  <si>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</si>
  <si>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</si>
  <si>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</si>
  <si>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</si>
  <si>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</si>
  <si>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</si>
  <si>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</si>
  <si>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</si>
  <si>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</si>
  <si>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</si>
  <si>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</si>
  <si>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</si>
  <si>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</si>
  <si>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</si>
  <si>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</si>
  <si>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</si>
  <si>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</si>
  <si>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</si>
  <si>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</si>
  <si>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</si>
  <si>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</si>
  <si>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</si>
  <si>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</si>
  <si>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</si>
  <si>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</si>
  <si>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</si>
  <si>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</si>
  <si>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</si>
  <si>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</si>
  <si>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</si>
  <si>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</si>
  <si>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</si>
  <si>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</si>
  <si>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</si>
  <si>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</si>
  <si>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</si>
  <si>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</si>
  <si>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</si>
  <si>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</si>
  <si>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</si>
  <si>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</si>
  <si>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</si>
  <si>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</si>
  <si>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</si>
  <si>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</si>
  <si>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</si>
  <si>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</si>
  <si>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</si>
  <si>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</si>
  <si>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</si>
  <si>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</si>
  <si>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</si>
  <si>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</si>
  <si>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</si>
  <si>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</si>
  <si>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</si>
  <si>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</si>
  <si>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</si>
  <si>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</si>
  <si>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</si>
  <si>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</si>
  <si>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</si>
  <si>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</si>
  <si>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</si>
  <si>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</si>
  <si>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</si>
  <si>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</si>
  <si>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</si>
  <si>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</si>
  <si>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</si>
  <si>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</si>
  <si>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</si>
  <si>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</si>
  <si>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</si>
  <si>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</si>
  <si>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</si>
  <si>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</si>
  <si>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</si>
  <si>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</si>
  <si>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</si>
  <si>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</si>
  <si>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</si>
  <si>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</si>
  <si>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</si>
  <si>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</si>
  <si>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</si>
  <si>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</si>
  <si>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</si>
  <si>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</si>
  <si>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</si>
  <si>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</si>
  <si>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</si>
  <si>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</si>
  <si>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</si>
  <si>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</si>
  <si>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</si>
  <si>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</si>
  <si>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</si>
  <si>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</si>
  <si>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</si>
  <si>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</si>
  <si>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</si>
  <si>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</si>
  <si>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</si>
  <si>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</si>
  <si>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</si>
  <si>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</si>
  <si>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</si>
  <si>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</si>
  <si>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</si>
  <si>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</si>
  <si>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</si>
  <si>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</si>
  <si>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</si>
  <si>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</si>
  <si>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</si>
  <si>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</si>
  <si>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</si>
  <si>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</si>
  <si>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</si>
  <si>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</si>
  <si>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</si>
  <si>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</si>
  <si>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</si>
  <si>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</si>
  <si>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</si>
  <si>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</si>
  <si>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</si>
  <si>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</si>
  <si>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</si>
  <si>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</si>
  <si>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</si>
  <si>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</si>
  <si>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</si>
  <si>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</si>
  <si>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</si>
  <si>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</si>
  <si>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</si>
  <si>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</si>
  <si>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</si>
  <si>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</si>
  <si>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</si>
  <si>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</si>
  <si>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</si>
  <si>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</si>
  <si>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</si>
  <si>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</si>
  <si>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</si>
  <si>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</si>
  <si>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</si>
  <si>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</si>
  <si>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</si>
  <si>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</si>
  <si>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</si>
  <si>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</si>
  <si>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</si>
  <si>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</si>
  <si>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</si>
  <si>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</si>
  <si>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</si>
  <si>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</si>
  <si>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</si>
  <si>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</si>
  <si>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</si>
  <si>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</si>
  <si>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</si>
  <si>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</si>
  <si>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</si>
  <si>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</si>
  <si>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</si>
  <si>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</si>
  <si>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</si>
  <si>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</si>
  <si>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</si>
  <si>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</si>
  <si>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</si>
  <si>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</si>
  <si>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</si>
  <si>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</si>
  <si>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</si>
  <si>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</si>
  <si>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</si>
  <si>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</si>
  <si>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</si>
  <si>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</si>
  <si>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</si>
  <si>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</si>
  <si>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</si>
  <si>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</si>
  <si>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</si>
  <si>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</si>
  <si>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</si>
  <si>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</si>
  <si>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</si>
  <si>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</si>
  <si>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</si>
  <si>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</si>
  <si>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</si>
  <si>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</si>
  <si>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</si>
  <si>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</si>
  <si>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</si>
  <si>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</si>
  <si>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</si>
  <si>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</si>
  <si>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</si>
  <si>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</si>
  <si>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</si>
  <si>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</si>
  <si>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</si>
  <si>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</si>
  <si>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</si>
  <si>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</si>
  <si>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</si>
  <si>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</si>
  <si>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</si>
  <si>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</si>
  <si>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</si>
  <si>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</si>
  <si>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</si>
  <si>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</si>
  <si>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</si>
  <si>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</si>
  <si>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</si>
  <si>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</si>
  <si>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</si>
  <si>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</si>
  <si>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</si>
  <si>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</si>
  <si>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</si>
  <si>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</si>
  <si>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</si>
  <si>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</si>
  <si>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</si>
  <si>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</si>
  <si>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</si>
  <si>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</si>
  <si>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</si>
  <si>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</si>
  <si>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</si>
  <si>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</si>
  <si>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</si>
  <si>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</si>
  <si>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</si>
  <si>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</si>
  <si>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</si>
  <si>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</si>
  <si>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</si>
  <si>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</si>
  <si>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</si>
  <si>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</si>
  <si>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</si>
  <si>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</si>
  <si>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</si>
  <si>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</si>
  <si>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</si>
  <si>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</si>
  <si>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</si>
  <si>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</si>
  <si>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</si>
  <si>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</si>
  <si>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</si>
  <si>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</si>
  <si>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</si>
  <si>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</si>
  <si>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</si>
  <si>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</si>
  <si>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</si>
  <si>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</si>
  <si>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</si>
  <si>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</si>
  <si>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</si>
  <si>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</si>
  <si>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</si>
  <si>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</si>
  <si>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</si>
  <si>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</si>
  <si>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</si>
  <si>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</si>
  <si>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</si>
  <si>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</si>
  <si>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</si>
  <si>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</si>
  <si>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</si>
  <si>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</si>
  <si>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</si>
  <si>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</si>
  <si>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</si>
  <si>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</si>
  <si>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</si>
  <si>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</si>
  <si>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</si>
  <si>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</si>
  <si>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</si>
  <si>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</si>
  <si>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</si>
  <si>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</si>
  <si>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</si>
  <si>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</si>
  <si>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</si>
  <si>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</si>
  <si>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</si>
  <si>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</si>
  <si>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</si>
  <si>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</si>
  <si>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</si>
  <si>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</si>
  <si>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</si>
  <si>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</si>
  <si>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</si>
  <si>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</si>
  <si>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</si>
  <si>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</si>
  <si>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</si>
  <si>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</si>
  <si>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</si>
  <si>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</si>
  <si>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</si>
  <si>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</si>
  <si>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</si>
  <si>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</si>
  <si>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</si>
  <si>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</si>
  <si>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</si>
  <si>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</si>
  <si>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</si>
  <si>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</si>
  <si>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</si>
  <si>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</si>
  <si>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</si>
  <si>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</si>
  <si>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</si>
  <si>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</si>
  <si>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</si>
  <si>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</si>
  <si>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</si>
  <si>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</si>
  <si>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</si>
  <si>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</si>
  <si>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</si>
  <si>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</si>
  <si>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</si>
  <si>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</si>
  <si>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</si>
  <si>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</si>
  <si>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</si>
  <si>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</si>
  <si>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</si>
  <si>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</si>
  <si>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</si>
  <si>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</si>
  <si>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</si>
  <si>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</si>
  <si>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</si>
  <si>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</si>
  <si>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</si>
  <si>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</si>
  <si>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</si>
  <si>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</si>
  <si>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</si>
  <si>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</si>
  <si>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</si>
  <si>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</si>
  <si>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</si>
  <si>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</si>
  <si>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</si>
  <si>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</si>
  <si>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</si>
  <si>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</si>
  <si>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</si>
  <si>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</si>
  <si>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</si>
  <si>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</si>
  <si>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</si>
  <si>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</si>
  <si>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</si>
  <si>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</si>
  <si>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</si>
  <si>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</si>
  <si>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</si>
  <si>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</si>
  <si>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</si>
  <si>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</si>
  <si>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</si>
  <si>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</si>
  <si>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</si>
  <si>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</si>
  <si>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</si>
  <si>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</si>
  <si>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</si>
  <si>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</si>
  <si>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</si>
  <si>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</si>
  <si>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</si>
  <si>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</si>
  <si>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</si>
  <si>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</si>
  <si>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</si>
  <si>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</si>
  <si>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</si>
  <si>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</si>
  <si>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</si>
  <si>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</si>
  <si>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</si>
  <si>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</si>
  <si>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</si>
  <si>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</si>
  <si>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</si>
  <si>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</si>
  <si>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</si>
  <si>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</si>
  <si>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</si>
  <si>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</si>
  <si>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</si>
  <si>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</si>
  <si>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</si>
  <si>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</si>
  <si>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</si>
  <si>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</si>
  <si>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</si>
  <si>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</si>
  <si>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</si>
  <si>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</si>
  <si>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</si>
  <si>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</si>
  <si>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</si>
  <si>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</si>
  <si>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</si>
  <si>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</si>
  <si>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</si>
  <si>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</si>
  <si>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</si>
  <si>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</si>
  <si>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</si>
  <si>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</si>
  <si>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</si>
  <si>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</si>
  <si>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</si>
  <si>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</si>
  <si>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</si>
  <si>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</si>
  <si>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</si>
  <si>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</si>
  <si>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</si>
  <si>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</si>
  <si>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</si>
  <si>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</si>
  <si>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</si>
  <si>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</si>
  <si>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</si>
  <si>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</si>
  <si>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</si>
  <si>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</si>
  <si>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</si>
  <si>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</si>
  <si>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</si>
  <si>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</si>
  <si>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</si>
  <si>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</si>
  <si>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</si>
  <si>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</si>
  <si>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</si>
  <si>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</si>
  <si>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</si>
  <si>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</si>
  <si>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</si>
  <si>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</si>
  <si>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</si>
  <si>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</si>
  <si>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</si>
  <si>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</si>
  <si>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</si>
  <si>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</si>
  <si>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</si>
  <si>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</si>
  <si>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</si>
  <si>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</si>
  <si>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</si>
  <si>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</si>
  <si>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</si>
  <si>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</si>
  <si>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</si>
  <si>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</si>
  <si>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</si>
  <si>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</si>
  <si>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</si>
  <si>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</si>
  <si>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</si>
  <si>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</si>
  <si>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</si>
  <si>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</si>
  <si>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</si>
  <si>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</si>
  <si>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</si>
  <si>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</si>
  <si>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</si>
  <si>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</si>
  <si>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</si>
  <si>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</si>
  <si>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</si>
  <si>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</si>
  <si>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</si>
  <si>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</si>
  <si>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</si>
  <si>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</si>
  <si>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</si>
  <si>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</si>
  <si>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</si>
  <si>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</si>
  <si>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</si>
  <si>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</si>
  <si>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</si>
  <si>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</si>
  <si>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</si>
  <si>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</si>
  <si>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</si>
  <si>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</si>
  <si>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</si>
  <si>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</si>
  <si>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</si>
  <si>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</si>
  <si>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</si>
  <si>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</si>
  <si>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</si>
  <si>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</si>
  <si>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</si>
  <si>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</si>
  <si>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</si>
  <si>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</si>
  <si>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</si>
  <si>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</si>
  <si>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</si>
  <si>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</si>
  <si>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</si>
  <si>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</si>
  <si>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</si>
  <si>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</si>
  <si>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</si>
  <si>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</si>
  <si>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</si>
  <si>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</si>
  <si>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</si>
  <si>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</si>
  <si>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</si>
  <si>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</si>
  <si>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</si>
  <si>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</si>
  <si>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</si>
  <si>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</si>
  <si>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</si>
  <si>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</si>
  <si>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</si>
  <si>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</si>
  <si>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</si>
  <si>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</si>
  <si>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</si>
  <si>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</si>
  <si>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</si>
  <si>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</si>
  <si>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</si>
  <si>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</si>
  <si>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</si>
  <si>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</si>
  <si>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</si>
  <si>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</si>
  <si>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</si>
  <si>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</si>
  <si>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</si>
  <si>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</si>
  <si>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</si>
  <si>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</si>
  <si>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</si>
  <si>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</si>
  <si>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</si>
  <si>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</si>
  <si>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</si>
  <si>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</si>
  <si>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</si>
  <si>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</si>
  <si>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</si>
  <si>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</si>
  <si>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</si>
  <si>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</si>
  <si>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</si>
  <si>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</si>
  <si>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</si>
  <si>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</si>
  <si>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</si>
  <si>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</si>
  <si>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</si>
  <si>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</si>
  <si>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</si>
  <si>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</si>
  <si>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</si>
  <si>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</si>
  <si>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</si>
  <si>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</si>
  <si>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</si>
  <si>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</si>
  <si>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</si>
  <si>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</si>
  <si>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</si>
  <si>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</si>
  <si>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</si>
  <si>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</si>
  <si>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</si>
  <si>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</si>
  <si>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</si>
  <si>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</si>
  <si>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</si>
  <si>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</si>
  <si>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</si>
  <si>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</si>
  <si>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</si>
  <si>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</si>
  <si>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</si>
  <si>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</si>
  <si>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</si>
  <si>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</si>
  <si>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</si>
  <si>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</si>
  <si>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</si>
  <si>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</si>
  <si>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</si>
  <si>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</si>
  <si>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</si>
  <si>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</si>
  <si>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</si>
  <si>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</si>
  <si>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</si>
  <si>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</si>
  <si>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</si>
  <si>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</si>
  <si>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</si>
  <si>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</si>
  <si>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</si>
  <si>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</si>
  <si>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</si>
  <si>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</si>
  <si>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</si>
  <si>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</si>
  <si>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</si>
  <si>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</si>
  <si>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</si>
  <si>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</si>
  <si>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</si>
  <si>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</si>
  <si>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</si>
  <si>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</si>
  <si>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</si>
  <si>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</si>
  <si>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</si>
  <si>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</si>
  <si>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</si>
  <si>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</si>
  <si>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</si>
  <si>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</si>
  <si>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</si>
  <si>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</si>
  <si>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</si>
  <si>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</si>
  <si>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</si>
  <si>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</si>
  <si>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</si>
  <si>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</si>
  <si>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</si>
  <si>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</si>
  <si>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</si>
  <si>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</si>
  <si>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</si>
  <si>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</si>
  <si>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</si>
  <si>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</si>
  <si>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</si>
  <si>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</si>
  <si>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</si>
  <si>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</si>
  <si>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</si>
  <si>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</si>
  <si>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</si>
  <si>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</si>
  <si>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</si>
  <si>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</si>
  <si>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</si>
  <si>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</si>
  <si>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</si>
  <si>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</si>
  <si>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</si>
  <si>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</si>
  <si>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</si>
  <si>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</si>
  <si>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</si>
  <si>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</si>
  <si>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</si>
  <si>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</si>
  <si>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</si>
  <si>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</si>
  <si>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</si>
  <si>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</si>
  <si>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</si>
  <si>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</si>
  <si>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</si>
  <si>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</si>
  <si>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</si>
  <si>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</si>
  <si>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</si>
  <si>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</si>
  <si>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</si>
  <si>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</si>
  <si>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</si>
  <si>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</si>
  <si>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</si>
  <si>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</si>
  <si>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</si>
  <si>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</si>
  <si>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</si>
  <si>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</si>
  <si>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</si>
  <si>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</si>
  <si>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</si>
  <si>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</si>
  <si>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</si>
  <si>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</si>
  <si>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</si>
  <si>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</si>
  <si>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</si>
  <si>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</si>
  <si>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</si>
  <si>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</si>
  <si>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</si>
  <si>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</si>
  <si>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</si>
  <si>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</si>
  <si>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</si>
  <si>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</si>
  <si>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</si>
  <si>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</si>
  <si>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</si>
  <si>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</si>
  <si>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</si>
  <si>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</si>
  <si>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</si>
  <si>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</si>
  <si>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</si>
  <si>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</si>
  <si>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</si>
  <si>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</si>
  <si>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</si>
  <si>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</si>
  <si>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</si>
  <si>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</si>
  <si>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</si>
  <si>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</si>
  <si>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</si>
  <si>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</si>
  <si>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</si>
  <si>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</si>
  <si>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</si>
  <si>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</si>
  <si>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</si>
  <si>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</si>
  <si>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</si>
  <si>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</si>
  <si>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</si>
  <si>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</si>
  <si>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</si>
  <si>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</si>
  <si>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</si>
  <si>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</si>
  <si>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</si>
  <si>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</si>
  <si>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</si>
  <si>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</si>
  <si>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</si>
  <si>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</si>
  <si>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</si>
  <si>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</si>
  <si>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</si>
  <si>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</si>
  <si>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</si>
  <si>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</si>
  <si>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</si>
  <si>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</si>
  <si>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</si>
  <si>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</si>
  <si>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</si>
  <si>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</si>
  <si>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</si>
  <si>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</si>
  <si>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</si>
  <si>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</si>
  <si>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</si>
  <si>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</si>
  <si>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</si>
  <si>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</si>
  <si>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</si>
  <si>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</si>
  <si>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</si>
  <si>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</si>
  <si>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</si>
  <si>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</si>
  <si>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</si>
  <si>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</si>
  <si>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</si>
  <si>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</si>
  <si>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</si>
  <si>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</si>
  <si>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</si>
  <si>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</si>
  <si>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</si>
  <si>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</si>
  <si>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</si>
  <si>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</si>
  <si>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</si>
  <si>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</si>
  <si>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</si>
  <si>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</si>
  <si>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</si>
  <si>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</si>
  <si>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</si>
  <si>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</si>
  <si>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</si>
  <si>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</si>
  <si>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</si>
  <si>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</si>
  <si>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</si>
  <si>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</si>
  <si>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</si>
  <si>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</si>
  <si>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</si>
  <si>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</si>
  <si>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</si>
  <si>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</si>
  <si>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</si>
  <si>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</si>
  <si>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</si>
  <si>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</si>
  <si>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</si>
  <si>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</si>
  <si>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</si>
  <si>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</si>
  <si>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</si>
  <si>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</si>
  <si>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</si>
  <si>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</si>
  <si>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</si>
  <si>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</si>
  <si>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</si>
  <si>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</si>
  <si>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</si>
  <si>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</si>
  <si>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</si>
  <si>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</si>
  <si>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</si>
  <si>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</si>
  <si>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</si>
  <si>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</si>
  <si>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</si>
  <si>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</si>
  <si>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</si>
  <si>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</si>
  <si>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</si>
  <si>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</si>
  <si>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</si>
  <si>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</si>
  <si>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</si>
  <si>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</si>
  <si>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</si>
  <si>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</si>
  <si>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</si>
  <si>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</si>
  <si>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</si>
  <si>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</si>
  <si>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</si>
  <si>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</si>
  <si>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</si>
  <si>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</si>
  <si>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</si>
  <si>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</si>
  <si>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</si>
  <si>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</si>
  <si>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</si>
  <si>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</si>
  <si>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</si>
  <si>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</si>
  <si>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</si>
  <si>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</si>
  <si>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</si>
  <si>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</si>
  <si>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</si>
  <si>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</si>
  <si>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</si>
  <si>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</si>
  <si>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</si>
  <si>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</si>
  <si>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</si>
  <si>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</si>
  <si>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</si>
  <si>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</si>
  <si>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</si>
  <si>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</si>
  <si>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</si>
  <si>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</si>
  <si>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</si>
  <si>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</si>
  <si>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</si>
  <si>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</si>
  <si>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</si>
  <si>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</si>
  <si>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</si>
  <si>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</si>
  <si>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</si>
  <si>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</si>
  <si>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</si>
  <si>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</si>
  <si>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</si>
  <si>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</si>
  <si>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</si>
  <si>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</si>
  <si>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</si>
  <si>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</si>
  <si>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</si>
  <si>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</si>
  <si>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</si>
  <si>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</si>
  <si>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</si>
  <si>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</si>
  <si>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</si>
  <si>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</si>
  <si>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</si>
  <si>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</si>
  <si>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</si>
  <si>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</si>
  <si>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</si>
  <si>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</si>
  <si>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</si>
  <si>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</si>
  <si>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</si>
  <si>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</si>
  <si>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</si>
  <si>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</si>
  <si>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</si>
  <si>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</si>
  <si>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</si>
  <si>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</si>
  <si>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</si>
  <si>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</si>
  <si>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</si>
  <si>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</si>
  <si>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</si>
  <si>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</si>
  <si>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</si>
  <si>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</si>
  <si>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</si>
  <si>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</si>
  <si>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</si>
  <si>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</si>
  <si>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</si>
  <si>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</si>
  <si>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</si>
  <si>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</si>
  <si>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</si>
  <si>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</si>
  <si>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</si>
  <si>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</si>
  <si>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</si>
  <si>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</si>
  <si>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</si>
  <si>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</si>
  <si>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</si>
  <si>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</si>
  <si>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</si>
  <si>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</si>
  <si>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</si>
  <si>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</si>
  <si>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</si>
  <si>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</si>
  <si>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</si>
  <si>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</si>
  <si>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</si>
  <si>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</si>
  <si>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</si>
  <si>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</si>
  <si>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</si>
  <si>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</si>
  <si>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</si>
  <si>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</si>
  <si>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</si>
  <si>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</si>
  <si>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</si>
  <si>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</si>
  <si>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</si>
  <si>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</si>
  <si>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</si>
  <si>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</si>
  <si>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</si>
  <si>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</si>
  <si>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</si>
  <si>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</si>
  <si>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</si>
  <si>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</si>
  <si>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</si>
  <si>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</si>
  <si>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</si>
  <si>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</si>
  <si>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</si>
  <si>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</si>
  <si>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</si>
  <si>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</si>
  <si>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</si>
  <si>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</si>
  <si>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</si>
  <si>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</si>
  <si>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</si>
  <si>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</si>
  <si>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</si>
  <si>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</si>
  <si>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</si>
  <si>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</si>
  <si>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</si>
  <si>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</si>
  <si>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</si>
  <si>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</si>
  <si>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</si>
  <si>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</si>
  <si>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</si>
  <si>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</si>
  <si>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</si>
  <si>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</si>
  <si>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</si>
  <si>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</si>
  <si>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</si>
  <si>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</si>
  <si>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</si>
  <si>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</si>
  <si>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</si>
  <si>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</si>
  <si>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</si>
  <si>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</si>
  <si>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</si>
  <si>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</si>
  <si>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</si>
  <si>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</si>
  <si>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</si>
  <si>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</si>
  <si>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</si>
  <si>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</si>
  <si>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</si>
  <si>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</si>
  <si>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</si>
  <si>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</si>
  <si>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</si>
  <si>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</si>
  <si>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</si>
  <si>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</si>
  <si>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</si>
  <si>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</si>
  <si>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</si>
  <si>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</si>
  <si>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</si>
  <si>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</si>
  <si>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</si>
  <si>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</si>
  <si>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</si>
  <si>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</si>
  <si>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</si>
  <si>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</si>
  <si>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</si>
  <si>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</si>
  <si>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</si>
  <si>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</si>
  <si>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</si>
  <si>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</si>
  <si>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</si>
  <si>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</si>
  <si>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</si>
  <si>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</si>
  <si>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</si>
  <si>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</si>
  <si>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</si>
  <si>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</si>
  <si>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</si>
  <si>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</si>
  <si>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</si>
  <si>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</si>
  <si>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</si>
  <si>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</si>
  <si>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</si>
  <si>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</si>
  <si>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</si>
  <si>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</si>
  <si>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</si>
  <si>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</si>
  <si>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</si>
  <si>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</si>
  <si>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</si>
  <si>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</si>
  <si>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</si>
  <si>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</si>
  <si>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</si>
  <si>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</si>
  <si>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</si>
  <si>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</si>
  <si>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</si>
  <si>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</si>
  <si>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</si>
  <si>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</si>
  <si>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</si>
  <si>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</si>
  <si>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</si>
  <si>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</si>
  <si>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</si>
  <si>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</si>
  <si>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</si>
  <si>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</si>
  <si>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</si>
  <si>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</si>
  <si>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</si>
  <si>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</si>
  <si>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</si>
  <si>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</si>
  <si>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</si>
  <si>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</si>
  <si>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</si>
  <si>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</si>
  <si>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</si>
  <si>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</si>
  <si>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</si>
  <si>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</si>
  <si>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</si>
  <si>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</si>
  <si>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</si>
  <si>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</si>
  <si>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</si>
  <si>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</si>
  <si>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</si>
  <si>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</si>
  <si>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</si>
  <si>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</si>
  <si>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</si>
  <si>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</si>
  <si>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</si>
  <si>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</si>
  <si>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</si>
  <si>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</si>
  <si>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</si>
  <si>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</si>
  <si>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</si>
  <si>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</si>
  <si>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</si>
  <si>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</si>
  <si>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</si>
  <si>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</si>
  <si>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</si>
  <si>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</si>
  <si>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</si>
  <si>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</si>
  <si>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</si>
  <si>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</si>
  <si>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</si>
  <si>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</si>
  <si>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</si>
  <si>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</si>
  <si>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</si>
  <si>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</si>
  <si>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</si>
  <si>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</si>
  <si>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</si>
  <si>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</si>
  <si>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</si>
  <si>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</si>
  <si>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</si>
  <si>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</si>
  <si>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</si>
  <si>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</si>
  <si>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</si>
  <si>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</si>
  <si>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</si>
  <si>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</si>
  <si>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</si>
  <si>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</si>
  <si>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</si>
  <si>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</si>
  <si>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</si>
  <si>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</si>
  <si>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</si>
  <si>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</si>
  <si>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</si>
  <si>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</si>
  <si>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</si>
  <si>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</si>
  <si>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</si>
  <si>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</si>
  <si>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</si>
  <si>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</si>
  <si>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</si>
  <si>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</si>
  <si>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</si>
  <si>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</si>
  <si>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</si>
  <si>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</si>
  <si>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</si>
  <si>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</si>
  <si>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</si>
  <si>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</si>
  <si>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</si>
  <si>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</si>
  <si>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</si>
  <si>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</si>
  <si>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</si>
  <si>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</si>
  <si>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</si>
  <si>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</si>
  <si>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</si>
  <si>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</si>
  <si>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</si>
  <si>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</si>
  <si>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</si>
  <si>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</si>
  <si>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</si>
  <si>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</si>
  <si>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</si>
  <si>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</si>
  <si>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</si>
  <si>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</si>
  <si>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</si>
  <si>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</si>
  <si>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</si>
  <si>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</si>
  <si>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</si>
  <si>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</si>
  <si>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</si>
  <si>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</si>
  <si>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</si>
  <si>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</si>
  <si>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</si>
  <si>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</si>
  <si>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</si>
  <si>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</si>
  <si>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</si>
  <si>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</si>
  <si>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</si>
  <si>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</si>
  <si>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</si>
  <si>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</si>
  <si>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</si>
  <si>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</si>
  <si>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</si>
  <si>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</si>
  <si>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</si>
  <si>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</si>
  <si>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</si>
  <si>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</si>
  <si>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</si>
  <si>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</si>
  <si>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</si>
  <si>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</si>
  <si>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</si>
  <si>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</si>
  <si>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</si>
  <si>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</si>
  <si>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</si>
  <si>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</si>
  <si>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</si>
  <si>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</si>
  <si>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</si>
  <si>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</si>
  <si>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</si>
  <si>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</si>
  <si>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</si>
  <si>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</si>
  <si>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</si>
  <si>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</si>
  <si>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</si>
  <si>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</si>
  <si>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</si>
  <si>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</si>
  <si>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</si>
  <si>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</si>
  <si>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</si>
  <si>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</si>
  <si>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</si>
  <si>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</si>
  <si>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</si>
  <si>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</si>
  <si>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</si>
  <si>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</si>
  <si>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</si>
  <si>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</si>
  <si>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</si>
  <si>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</si>
  <si>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</si>
  <si>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</si>
  <si>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</si>
  <si>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</si>
  <si>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</si>
  <si>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</si>
  <si>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</si>
  <si>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</si>
  <si>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</si>
  <si>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</si>
  <si>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</si>
  <si>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</si>
  <si>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</si>
  <si>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</si>
  <si>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</si>
  <si>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</si>
  <si>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</si>
  <si>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</si>
  <si>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</si>
  <si>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</si>
  <si>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</si>
  <si>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</si>
  <si>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</si>
  <si>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</si>
  <si>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</si>
  <si>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</si>
  <si>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</si>
  <si>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</si>
  <si>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</si>
  <si>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</si>
  <si>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</si>
  <si>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</si>
  <si>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</si>
  <si>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</si>
  <si>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</si>
  <si>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</si>
  <si>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</si>
  <si>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</si>
  <si>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</si>
  <si>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</si>
  <si>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</si>
  <si>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</si>
  <si>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</si>
  <si>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</si>
  <si>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</si>
  <si>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</si>
  <si>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</si>
  <si>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</si>
  <si>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</si>
  <si>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</si>
  <si>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</si>
  <si>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</si>
  <si>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</si>
  <si>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</si>
  <si>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</si>
  <si>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</si>
  <si>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</si>
  <si>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</si>
  <si>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</si>
  <si>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</si>
  <si>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</si>
  <si>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</si>
  <si>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</si>
  <si>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</si>
  <si>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</si>
  <si>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</si>
  <si>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</si>
  <si>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</si>
  <si>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</si>
  <si>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</si>
  <si>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</si>
  <si>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</si>
  <si>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</si>
  <si>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</si>
  <si>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</si>
  <si>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</si>
  <si>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</si>
  <si>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</si>
  <si>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</si>
  <si>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</si>
  <si>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</si>
  <si>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</si>
  <si>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</si>
  <si>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</si>
  <si>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</si>
  <si>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</si>
  <si>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</si>
  <si>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</si>
  <si>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</si>
  <si>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</si>
  <si>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</si>
  <si>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</si>
  <si>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</si>
  <si>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</si>
  <si>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</si>
  <si>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</si>
  <si>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</si>
  <si>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</si>
  <si>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</si>
  <si>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</si>
  <si>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</si>
  <si>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</si>
  <si>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</si>
  <si>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</si>
  <si>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</si>
  <si>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</si>
  <si>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</si>
  <si>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</si>
  <si>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</si>
  <si>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</si>
  <si>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</si>
  <si>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</si>
  <si>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</si>
  <si>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</si>
  <si>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</si>
  <si>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</si>
  <si>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</si>
  <si>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</si>
  <si>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</si>
  <si>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</si>
  <si>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</si>
  <si>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</si>
  <si>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</si>
  <si>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</si>
  <si>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</si>
  <si>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</si>
  <si>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</si>
  <si>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</si>
  <si>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</si>
  <si>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</si>
  <si>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</si>
  <si>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</si>
  <si>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</si>
  <si>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</si>
  <si>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</si>
  <si>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</si>
  <si>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</si>
  <si>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</si>
  <si>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</si>
  <si>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</si>
  <si>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</si>
  <si>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</si>
  <si>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</si>
  <si>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</si>
  <si>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</si>
  <si>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</si>
  <si>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</si>
  <si>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</si>
  <si>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</si>
  <si>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</si>
  <si>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</si>
  <si>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</si>
  <si>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</si>
  <si>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</si>
  <si>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</si>
  <si>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</si>
  <si>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</si>
  <si>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</si>
  <si>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</si>
  <si>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</si>
  <si>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</si>
  <si>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</si>
  <si>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</si>
  <si>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</si>
  <si>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</si>
  <si>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</si>
  <si>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</si>
  <si>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</si>
  <si>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</si>
  <si>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</si>
  <si>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</si>
  <si>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</si>
  <si>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</si>
  <si>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</si>
  <si>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</si>
  <si>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</si>
  <si>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</si>
  <si>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</si>
  <si>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</si>
  <si>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</si>
  <si>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</si>
  <si>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</si>
  <si>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</si>
  <si>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</si>
  <si>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</si>
  <si>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</si>
  <si>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</si>
  <si>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</si>
  <si>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</si>
  <si>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</si>
  <si>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</si>
  <si>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</si>
  <si>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</si>
  <si>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</si>
  <si>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</si>
  <si>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</si>
  <si>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</si>
  <si>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</si>
  <si>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</si>
  <si>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</si>
  <si>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</si>
  <si>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</si>
  <si>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</si>
  <si>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</si>
  <si>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</si>
  <si>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</si>
  <si>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</si>
  <si>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</si>
  <si>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</si>
  <si>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</si>
  <si>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</si>
  <si>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</si>
  <si>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</si>
  <si>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</si>
  <si>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</si>
  <si>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</si>
  <si>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</si>
  <si>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</si>
  <si>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</si>
  <si>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</si>
  <si>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</si>
  <si>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</si>
  <si>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</si>
  <si>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</si>
  <si>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</si>
  <si>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</si>
  <si>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</si>
  <si>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</si>
  <si>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</si>
  <si>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</si>
  <si>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</si>
  <si>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</si>
  <si>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</si>
  <si>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</si>
  <si>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</si>
  <si>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</si>
  <si>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</si>
  <si>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</si>
  <si>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</si>
  <si>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</si>
  <si>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</si>
  <si>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</si>
  <si>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</si>
  <si>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</si>
  <si>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</si>
  <si>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</si>
  <si>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</si>
  <si>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</si>
  <si>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</si>
  <si>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</si>
  <si>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</si>
  <si>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</si>
  <si>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</si>
  <si>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</si>
  <si>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</si>
  <si>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</si>
  <si>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</si>
  <si>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</si>
  <si>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</si>
  <si>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</si>
  <si>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</si>
  <si>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</si>
  <si>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</si>
  <si>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</si>
  <si>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</si>
  <si>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</si>
  <si>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</si>
  <si>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</si>
  <si>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</si>
  <si>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</si>
  <si>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</si>
  <si>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</si>
  <si>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</si>
  <si>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</si>
  <si>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</si>
  <si>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</si>
  <si>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</si>
  <si>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</si>
  <si>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</si>
  <si>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</si>
  <si>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</si>
  <si>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</si>
  <si>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</si>
  <si>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</si>
  <si>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</si>
  <si>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</si>
  <si>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</si>
  <si>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</si>
  <si>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</si>
  <si>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</si>
  <si>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</si>
  <si>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</si>
  <si>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</si>
  <si>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</si>
  <si>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</si>
  <si>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</si>
  <si>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</si>
  <si>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</si>
  <si>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</si>
  <si>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</si>
  <si>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</si>
  <si>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</si>
  <si>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</si>
  <si>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</si>
  <si>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</si>
  <si>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</si>
  <si>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</si>
  <si>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</si>
  <si>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</si>
  <si>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</si>
  <si>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</si>
  <si>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</si>
  <si>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</si>
  <si>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</si>
  <si>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</si>
  <si>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</si>
  <si>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</si>
  <si>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</si>
  <si>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</si>
  <si>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</si>
  <si>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</si>
  <si>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</si>
  <si>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</si>
  <si>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</si>
  <si>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</si>
  <si>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</si>
  <si>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</si>
  <si>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</si>
  <si>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</si>
  <si>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</si>
  <si>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</si>
  <si>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</si>
  <si>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</si>
  <si>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</si>
  <si>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</si>
  <si>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</si>
  <si>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</si>
  <si>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</si>
  <si>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</si>
  <si>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</si>
  <si>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</si>
  <si>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</si>
  <si>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</si>
  <si>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</si>
  <si>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</si>
  <si>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</si>
  <si>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</si>
  <si>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</si>
  <si>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</si>
  <si>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</si>
  <si>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</si>
  <si>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</si>
  <si>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</si>
  <si>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</si>
  <si>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</si>
  <si>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</si>
  <si>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</si>
  <si>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</si>
  <si>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</si>
  <si>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</si>
  <si>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</si>
  <si>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</si>
  <si>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</si>
  <si>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</si>
  <si>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</si>
  <si>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</si>
  <si>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</si>
  <si>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</si>
  <si>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</si>
  <si>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</si>
  <si>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</si>
  <si>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</si>
  <si>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</si>
  <si>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</si>
  <si>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</si>
  <si>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</si>
  <si>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</si>
  <si>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</si>
  <si>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</si>
  <si>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</si>
  <si>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</si>
  <si>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</si>
  <si>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</si>
  <si>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</si>
  <si>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</si>
  <si>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</si>
  <si>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</si>
  <si>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</si>
  <si>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</si>
  <si>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</si>
  <si>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</si>
  <si>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</si>
  <si>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</si>
  <si>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</si>
  <si>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</si>
  <si>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</si>
  <si>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</si>
  <si>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</si>
  <si>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</si>
  <si>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</si>
  <si>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</si>
  <si>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</si>
  <si>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</si>
  <si>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</si>
  <si>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</si>
  <si>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</si>
  <si>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</si>
  <si>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</si>
  <si>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</si>
  <si>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</si>
  <si>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</si>
  <si>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</si>
  <si>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</si>
  <si>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</si>
  <si>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</si>
  <si>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</si>
  <si>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</si>
  <si>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</si>
  <si>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</si>
  <si>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</si>
  <si>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</si>
  <si>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</si>
  <si>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</si>
  <si>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</si>
  <si>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</si>
  <si>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</si>
  <si>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</si>
  <si>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</si>
  <si>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</si>
  <si>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</si>
  <si>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</si>
  <si>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</si>
  <si>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</si>
  <si>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</si>
  <si>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</si>
  <si>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</si>
  <si>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</si>
  <si>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</si>
  <si>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</si>
  <si>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</si>
  <si>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</si>
  <si>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</si>
  <si>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</si>
  <si>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</si>
  <si>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</si>
  <si>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</si>
  <si>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</si>
  <si>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</si>
  <si>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</si>
  <si>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</si>
  <si>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</si>
  <si>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</si>
  <si>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</si>
  <si>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</si>
  <si>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</si>
  <si>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</si>
  <si>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</si>
  <si>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</si>
  <si>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</si>
  <si>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</si>
  <si>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</si>
  <si>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</si>
  <si>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</si>
  <si>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</si>
  <si>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</si>
  <si>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</si>
  <si>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</si>
  <si>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</si>
  <si>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</si>
  <si>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</si>
  <si>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</si>
  <si>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</si>
  <si>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</si>
  <si>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</si>
  <si>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</si>
  <si>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</si>
  <si>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</si>
  <si>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</si>
  <si>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</si>
  <si>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</si>
  <si>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</si>
  <si>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</si>
  <si>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</si>
  <si>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</si>
  <si>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</si>
  <si>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</si>
  <si>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</si>
  <si>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</si>
  <si>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</si>
  <si>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</si>
  <si>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</si>
  <si>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</si>
  <si>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</si>
  <si>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</si>
  <si>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</si>
  <si>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</si>
  <si>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</si>
  <si>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</si>
  <si>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</si>
  <si>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</si>
  <si>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</si>
  <si>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</si>
  <si>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</si>
  <si>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</si>
  <si>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</si>
  <si>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</si>
  <si>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</si>
  <si>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</si>
  <si>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</si>
  <si>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</si>
  <si>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</si>
  <si>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</si>
  <si>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</si>
  <si>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</si>
  <si>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</si>
  <si>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</si>
  <si>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</si>
  <si>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</si>
  <si>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</si>
  <si>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</si>
  <si>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</si>
  <si>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</si>
  <si>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</si>
  <si>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</si>
  <si>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</si>
  <si>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</si>
  <si>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</si>
  <si>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</si>
  <si>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</si>
  <si>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</si>
  <si>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</si>
  <si>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</si>
  <si>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</si>
  <si>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</si>
  <si>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</si>
  <si>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</si>
  <si>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</si>
  <si>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</si>
  <si>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</si>
  <si>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</si>
  <si>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</si>
  <si>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</si>
  <si>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</si>
  <si>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</si>
  <si>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</si>
  <si>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</si>
  <si>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</si>
  <si>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</si>
  <si>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</si>
  <si>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</si>
  <si>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</si>
  <si>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</si>
  <si>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</si>
  <si>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</si>
  <si>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</si>
  <si>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</si>
  <si>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</si>
  <si>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</si>
  <si>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</si>
  <si>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</si>
  <si>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</si>
  <si>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</si>
  <si>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</si>
  <si>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</si>
  <si>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</si>
  <si>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</si>
  <si>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</si>
  <si>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</si>
  <si>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</si>
  <si>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</si>
  <si>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</si>
  <si>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</si>
  <si>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</si>
  <si>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</si>
  <si>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</si>
  <si>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</si>
  <si>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</si>
  <si>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</si>
  <si>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</si>
  <si>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</si>
  <si>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</si>
  <si>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</si>
  <si>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</si>
  <si>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</si>
  <si>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</si>
  <si>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</si>
  <si>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</si>
  <si>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</si>
  <si>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</si>
  <si>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</si>
  <si>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</si>
  <si>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</si>
  <si>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</si>
  <si>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</si>
  <si>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</si>
  <si>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</si>
  <si>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</si>
  <si>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</si>
  <si>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</si>
  <si>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</si>
  <si>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</si>
  <si>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</si>
  <si>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</si>
  <si>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</si>
  <si>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</si>
  <si>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</si>
  <si>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</si>
  <si>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</si>
  <si>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</si>
  <si>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</si>
  <si>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</si>
  <si>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</si>
  <si>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</si>
  <si>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</si>
  <si>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</si>
  <si>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</si>
  <si>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</si>
  <si>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</si>
  <si>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</si>
  <si>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</si>
  <si>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</si>
  <si>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</si>
  <si>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</si>
  <si>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</si>
  <si>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</si>
  <si>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</si>
  <si>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</si>
  <si>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</si>
  <si>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</si>
  <si>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</si>
  <si>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</si>
  <si>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</si>
  <si>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</si>
  <si>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</si>
  <si>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</si>
  <si>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</si>
  <si>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</si>
  <si>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</si>
  <si>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</si>
  <si>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</si>
  <si>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</si>
  <si>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</si>
  <si>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</si>
  <si>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</si>
  <si>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</si>
  <si>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</si>
  <si>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</si>
  <si>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</si>
  <si>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</si>
  <si>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</si>
  <si>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</si>
  <si>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</si>
  <si>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</si>
  <si>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</si>
  <si>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</si>
  <si>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</si>
  <si>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</si>
  <si>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</si>
  <si>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</si>
  <si>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</si>
  <si>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</si>
  <si>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</si>
  <si>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</si>
  <si>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</si>
  <si>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</si>
  <si>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</si>
  <si>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</si>
  <si>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</si>
  <si>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</si>
  <si>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</si>
  <si>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</si>
  <si>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</si>
  <si>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</si>
  <si>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</si>
  <si>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</si>
  <si>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</si>
  <si>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</si>
  <si>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</si>
  <si>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</si>
  <si>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</si>
  <si>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</si>
  <si>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</si>
  <si>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</si>
  <si>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</si>
  <si>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</si>
  <si>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</si>
  <si>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</si>
  <si>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</si>
  <si>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</si>
  <si>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</si>
  <si>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</si>
  <si>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</si>
  <si>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</si>
  <si>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</si>
  <si>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</si>
  <si>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</si>
  <si>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</si>
  <si>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</si>
  <si>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</si>
  <si>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</si>
  <si>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</si>
  <si>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</si>
  <si>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</si>
  <si>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</si>
  <si>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</si>
  <si>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</si>
  <si>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</si>
  <si>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</si>
  <si>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</si>
  <si>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</si>
  <si>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</si>
  <si>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</si>
  <si>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</si>
  <si>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</si>
  <si>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</si>
  <si>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</si>
  <si>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</si>
  <si>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</si>
  <si>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</si>
  <si>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</si>
  <si>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</si>
  <si>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</si>
  <si>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</si>
  <si>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</si>
  <si>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</si>
  <si>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</si>
  <si>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</si>
  <si>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</si>
  <si>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</si>
  <si>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</si>
  <si>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</si>
  <si>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</si>
  <si>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</si>
  <si>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</si>
  <si>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</si>
  <si>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</si>
  <si>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</si>
  <si>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</si>
  <si>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</si>
  <si>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</si>
  <si>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</si>
  <si>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</si>
  <si>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</si>
  <si>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</si>
  <si>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</si>
  <si>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</si>
  <si>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</si>
  <si>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</si>
  <si>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</si>
  <si>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</si>
  <si>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</si>
  <si>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</si>
  <si>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</si>
  <si>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</si>
  <si>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</si>
  <si>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</si>
  <si>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</si>
  <si>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</si>
  <si>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</si>
  <si>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</si>
  <si>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</si>
  <si>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</si>
  <si>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</si>
  <si>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</si>
  <si>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</si>
  <si>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</si>
  <si>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</si>
  <si>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</si>
  <si>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</si>
  <si>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</si>
  <si>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</si>
  <si>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</si>
  <si>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</si>
  <si>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</si>
  <si>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</si>
  <si>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</si>
  <si>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</si>
  <si>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</si>
  <si>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</si>
  <si>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</si>
  <si>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</si>
  <si>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</si>
  <si>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</si>
  <si>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</si>
  <si>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</si>
  <si>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</si>
  <si>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</si>
  <si>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</si>
  <si>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</si>
  <si>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</si>
  <si>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</si>
  <si>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</si>
  <si>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</si>
  <si>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</si>
  <si>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</si>
  <si>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</si>
  <si>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</si>
  <si>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</si>
  <si>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</si>
  <si>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</si>
  <si>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</si>
  <si>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</si>
  <si>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</si>
  <si>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</si>
  <si>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</si>
  <si>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</si>
  <si>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</si>
  <si>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</si>
  <si>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</si>
  <si>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</si>
  <si>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</si>
  <si>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</si>
  <si>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</si>
  <si>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</si>
  <si>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</si>
  <si>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</si>
  <si>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</si>
  <si>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</si>
  <si>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</si>
  <si>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</si>
  <si>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</si>
  <si>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</si>
  <si>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</si>
  <si>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</si>
  <si>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</si>
  <si>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</si>
  <si>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</si>
  <si>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</si>
  <si>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</si>
  <si>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</si>
  <si>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</si>
  <si>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</si>
  <si>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</si>
  <si>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</si>
  <si>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</si>
  <si>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</si>
  <si>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</si>
  <si>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</si>
  <si>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</si>
  <si>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</si>
  <si>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</si>
  <si>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</si>
  <si>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</si>
  <si>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</si>
  <si>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</si>
  <si>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</si>
  <si>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</si>
  <si>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</si>
  <si>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</si>
  <si>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</si>
  <si>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</si>
  <si>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</si>
  <si>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</si>
  <si>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</si>
  <si>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</si>
  <si>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</si>
  <si>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</si>
  <si>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</si>
  <si>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</si>
  <si>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</si>
  <si>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</si>
  <si>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</si>
  <si>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</si>
  <si>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</si>
  <si>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</si>
  <si>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</si>
  <si>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</si>
  <si>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</si>
  <si>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</si>
  <si>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</si>
  <si>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</si>
  <si>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</si>
  <si>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</si>
  <si>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</si>
  <si>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</si>
  <si>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</si>
  <si>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</si>
  <si>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</si>
  <si>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</si>
  <si>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</si>
  <si>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</si>
  <si>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</si>
  <si>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</si>
  <si>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</si>
  <si>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</si>
  <si>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</si>
  <si>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</si>
  <si>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</si>
  <si>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</si>
  <si>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</si>
  <si>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</si>
  <si>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</si>
  <si>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</si>
  <si>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</si>
  <si>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</si>
  <si>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</si>
  <si>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</si>
  <si>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</si>
  <si>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</si>
  <si>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</si>
  <si>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</si>
  <si>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</si>
  <si>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</si>
  <si>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</si>
  <si>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</si>
  <si>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</si>
  <si>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</si>
  <si>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</si>
  <si>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</si>
  <si>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</si>
  <si>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</si>
  <si>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</si>
  <si>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</si>
  <si>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</si>
  <si>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</si>
  <si>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</si>
  <si>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</si>
  <si>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</si>
  <si>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</si>
  <si>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</si>
  <si>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</si>
  <si>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</si>
  <si>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</si>
  <si>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</si>
  <si>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</si>
  <si>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</si>
  <si>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</si>
  <si>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</si>
  <si>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</si>
  <si>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</si>
  <si>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</si>
  <si>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</si>
  <si>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</si>
  <si>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</si>
  <si>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</si>
  <si>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</si>
  <si>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</si>
  <si>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</si>
  <si>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</si>
  <si>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</si>
  <si>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</si>
  <si>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</si>
  <si>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</si>
  <si>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</si>
  <si>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</si>
  <si>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</si>
  <si>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</si>
  <si>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</si>
  <si>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</si>
  <si>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</si>
  <si>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</si>
  <si>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</si>
  <si>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</si>
  <si>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</si>
  <si>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</si>
  <si>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</si>
  <si>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</si>
  <si>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</si>
  <si>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</si>
  <si>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</si>
  <si>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</si>
  <si>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</si>
  <si>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</si>
  <si>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</si>
  <si>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</si>
  <si>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</si>
  <si>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</si>
  <si>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</si>
  <si>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</si>
  <si>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</si>
  <si>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</si>
  <si>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</si>
  <si>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</si>
  <si>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</si>
  <si>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</si>
  <si>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</si>
  <si>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</si>
  <si>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</si>
  <si>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</si>
  <si>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</si>
  <si>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</si>
  <si>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</si>
  <si>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</si>
  <si>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</si>
  <si>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</si>
  <si>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</si>
  <si>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</si>
  <si>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</si>
  <si>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</si>
  <si>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</si>
  <si>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</si>
  <si>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</si>
  <si>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</si>
  <si>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</si>
  <si>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</si>
  <si>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</si>
  <si>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</si>
  <si>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</si>
  <si>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</si>
  <si>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</si>
  <si>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</si>
  <si>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</si>
  <si>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</si>
  <si>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</si>
  <si>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</si>
  <si>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</si>
  <si>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</si>
  <si>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</si>
  <si>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</si>
  <si>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</si>
  <si>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</si>
  <si>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</si>
  <si>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</si>
  <si>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</si>
  <si>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</si>
  <si>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</si>
  <si>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</si>
  <si>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</si>
  <si>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</si>
  <si>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</si>
  <si>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</si>
  <si>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</si>
  <si>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</si>
  <si>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</si>
  <si>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</si>
  <si>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</si>
  <si>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</si>
  <si>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</si>
  <si>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</si>
  <si>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</si>
  <si>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</si>
  <si>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</si>
  <si>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</si>
  <si>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</si>
  <si>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</si>
  <si>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</si>
  <si>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</si>
  <si>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</si>
  <si>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</si>
  <si>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</si>
  <si>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</si>
  <si>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</si>
  <si>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</si>
  <si>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</si>
  <si>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</si>
  <si>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</si>
  <si>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</si>
  <si>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</si>
  <si>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</si>
  <si>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</si>
  <si>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</si>
  <si>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</si>
  <si>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</si>
  <si>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</si>
  <si>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</si>
  <si>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</si>
  <si>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</si>
  <si>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</si>
  <si>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</si>
  <si>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</si>
  <si>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</si>
  <si>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</si>
  <si>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</si>
  <si>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</si>
  <si>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</si>
  <si>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</si>
  <si>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</si>
  <si>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</si>
  <si>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</si>
  <si>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</si>
  <si>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</si>
  <si>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</si>
  <si>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</si>
  <si>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</si>
  <si>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</si>
  <si>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</si>
  <si>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</si>
  <si>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</si>
  <si>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</si>
  <si>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</si>
  <si>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</si>
  <si>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</si>
  <si>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</si>
  <si>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</si>
  <si>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</si>
  <si>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</si>
  <si>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</si>
  <si>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</si>
  <si>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</si>
  <si>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</si>
  <si>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</si>
  <si>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</si>
  <si>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</si>
  <si>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</si>
  <si>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</si>
  <si>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</si>
  <si>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</si>
  <si>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</si>
  <si>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</si>
  <si>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</si>
  <si>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</si>
  <si>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</si>
  <si>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</si>
  <si>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</si>
  <si>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</si>
  <si>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</si>
  <si>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</si>
  <si>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</si>
  <si>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</si>
  <si>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</si>
  <si>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</si>
  <si>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</si>
  <si>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</si>
  <si>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</si>
  <si>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</si>
  <si>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</si>
  <si>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</si>
  <si>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</si>
  <si>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</si>
  <si>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</si>
  <si>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</si>
  <si>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</si>
  <si>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</si>
  <si>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</si>
  <si>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</si>
  <si>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</si>
  <si>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</si>
  <si>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</si>
  <si>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</si>
  <si>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</si>
  <si>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</si>
  <si>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</si>
  <si>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</si>
  <si>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</si>
  <si>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</si>
  <si>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</si>
  <si>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</si>
  <si>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</si>
  <si>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</si>
  <si>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</si>
  <si>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</si>
  <si>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</si>
  <si>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</si>
  <si>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</si>
  <si>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</si>
  <si>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</si>
  <si>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</si>
  <si>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</si>
  <si>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</si>
  <si>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</si>
  <si>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</si>
  <si>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</si>
  <si>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</si>
  <si>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</si>
  <si>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</si>
  <si>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</si>
  <si>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</si>
  <si>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</si>
  <si>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</si>
  <si>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</si>
  <si>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</si>
  <si>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</si>
  <si>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</si>
  <si>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</si>
  <si>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</si>
  <si>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</si>
  <si>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</si>
  <si>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</si>
  <si>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</si>
  <si>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</si>
  <si>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</si>
  <si>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</si>
  <si>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</si>
  <si>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</si>
  <si>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</si>
  <si>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</si>
  <si>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</si>
  <si>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</si>
  <si>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</si>
  <si>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</si>
  <si>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</si>
  <si>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</si>
  <si>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</si>
  <si>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</si>
  <si>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</si>
  <si>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</si>
  <si>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</si>
  <si>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</si>
  <si>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</si>
  <si>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</si>
  <si>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</si>
  <si>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</si>
  <si>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</si>
  <si>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</si>
  <si>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</si>
  <si>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</si>
  <si>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</si>
  <si>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</si>
  <si>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</si>
  <si>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</si>
  <si>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</si>
  <si>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</si>
  <si>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</si>
  <si>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</si>
  <si>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</si>
  <si>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</si>
  <si>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</si>
  <si>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</si>
  <si>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</si>
  <si>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</si>
  <si>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</si>
  <si>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</si>
  <si>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</si>
  <si>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</si>
  <si>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</si>
  <si>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</si>
  <si>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</si>
  <si>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</si>
  <si>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</si>
  <si>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</si>
  <si>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</si>
  <si>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</si>
  <si>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</si>
  <si>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</si>
  <si>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</si>
  <si>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</si>
  <si>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</si>
  <si>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</si>
  <si>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</si>
  <si>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</si>
  <si>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</si>
  <si>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</si>
  <si>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</si>
  <si>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</si>
  <si>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</si>
  <si>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</si>
  <si>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</si>
  <si>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</si>
  <si>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</si>
  <si>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</si>
  <si>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</si>
  <si>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</si>
  <si>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</si>
  <si>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</si>
  <si>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</si>
  <si>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</si>
  <si>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</si>
  <si>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</si>
  <si>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</si>
  <si>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</si>
  <si>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</si>
  <si>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</si>
  <si>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</si>
  <si>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</si>
  <si>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</si>
  <si>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</si>
  <si>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</si>
  <si>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</si>
  <si>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</si>
  <si>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</si>
  <si>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</si>
  <si>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</si>
  <si>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</si>
  <si>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</si>
  <si>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</si>
  <si>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</si>
  <si>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</si>
  <si>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</si>
  <si>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</si>
  <si>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</si>
  <si>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</si>
  <si>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</si>
  <si>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</si>
  <si>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</si>
  <si>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</si>
  <si>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</si>
  <si>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</si>
  <si>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</si>
  <si>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</si>
  <si>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</si>
  <si>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</si>
  <si>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</si>
  <si>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</si>
  <si>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</si>
  <si>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</si>
  <si>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</si>
  <si>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</si>
  <si>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</si>
  <si>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</si>
  <si>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</si>
  <si>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</si>
  <si>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</si>
  <si>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</si>
  <si>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</si>
  <si>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</si>
  <si>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</si>
  <si>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</si>
  <si>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</si>
  <si>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</si>
  <si>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</si>
  <si>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</si>
  <si>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</si>
  <si>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</si>
  <si>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</si>
  <si>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</si>
  <si>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</si>
  <si>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</si>
  <si>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</si>
  <si>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</si>
  <si>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</si>
  <si>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</si>
  <si>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</si>
  <si>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</si>
  <si>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</si>
  <si>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</si>
  <si>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</si>
  <si>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</si>
  <si>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</si>
  <si>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</si>
  <si>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</si>
  <si>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</si>
  <si>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</si>
  <si>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</si>
  <si>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</si>
  <si>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</si>
  <si>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</si>
  <si>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</si>
  <si>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</si>
  <si>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</si>
  <si>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</si>
  <si>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</si>
  <si>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</si>
  <si>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</si>
  <si>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</si>
  <si>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</si>
  <si>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</si>
  <si>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</si>
  <si>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</si>
  <si>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</si>
  <si>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</si>
  <si>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</si>
  <si>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</si>
  <si>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</si>
  <si>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</si>
  <si>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</si>
  <si>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</si>
  <si>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</si>
  <si>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</si>
  <si>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</si>
  <si>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</si>
  <si>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</si>
  <si>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</si>
  <si>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</si>
  <si>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</si>
  <si>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</si>
  <si>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</si>
  <si>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</si>
  <si>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</si>
  <si>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</si>
  <si>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</si>
  <si>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</si>
  <si>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</si>
  <si>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</si>
  <si>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</si>
  <si>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</si>
  <si>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</si>
  <si>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</si>
  <si>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</si>
  <si>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</si>
  <si>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</si>
  <si>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</si>
  <si>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</si>
  <si>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</si>
  <si>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</si>
  <si>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</si>
  <si>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</si>
  <si>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</si>
  <si>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</si>
  <si>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</si>
  <si>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</si>
  <si>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</si>
  <si>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</si>
  <si>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</si>
  <si>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</si>
  <si>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</si>
  <si>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</si>
  <si>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</si>
  <si>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</si>
  <si>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</si>
  <si>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</si>
  <si>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</si>
  <si>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</si>
  <si>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</si>
  <si>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</si>
  <si>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</si>
  <si>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</si>
  <si>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</si>
  <si>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</si>
  <si>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</si>
  <si>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</si>
  <si>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</si>
  <si>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</si>
  <si>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</si>
  <si>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</si>
  <si>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</si>
  <si>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</si>
  <si>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</si>
  <si>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</si>
  <si>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</si>
  <si>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</si>
  <si>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</si>
  <si>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</si>
  <si>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</si>
  <si>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</si>
  <si>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</si>
  <si>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</si>
  <si>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</si>
  <si>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</si>
  <si>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</si>
  <si>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</si>
  <si>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</si>
  <si>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</si>
  <si>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</si>
  <si>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</si>
  <si>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</si>
  <si>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</si>
  <si>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</si>
  <si>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</si>
  <si>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</si>
  <si>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</si>
  <si>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</si>
  <si>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</si>
  <si>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</si>
  <si>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</si>
  <si>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</si>
  <si>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</si>
  <si>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</si>
  <si>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</si>
  <si>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</si>
  <si>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</si>
  <si>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</si>
  <si>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</si>
  <si>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</si>
  <si>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</si>
  <si>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</si>
  <si>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</si>
  <si>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</si>
  <si>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</si>
  <si>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</si>
  <si>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</si>
  <si>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</si>
  <si>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</si>
  <si>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</si>
  <si>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</si>
  <si>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</si>
  <si>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</si>
  <si>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</si>
  <si>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</si>
  <si>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</si>
  <si>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</si>
  <si>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</si>
  <si>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</si>
  <si>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</si>
  <si>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</si>
  <si>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</si>
  <si>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</si>
  <si>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</si>
  <si>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</si>
  <si>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</si>
  <si>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</si>
  <si>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</si>
  <si>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</si>
  <si>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</si>
  <si>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</si>
  <si>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</si>
  <si>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</si>
  <si>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</si>
  <si>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</si>
  <si>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</si>
  <si>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</si>
  <si>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</si>
  <si>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</si>
  <si>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</si>
  <si>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</si>
  <si>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</si>
  <si>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</si>
  <si>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</si>
  <si>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</si>
  <si>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</si>
  <si>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</si>
  <si>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</si>
  <si>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</si>
  <si>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</si>
  <si>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</si>
  <si>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</si>
  <si>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</si>
  <si>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</si>
  <si>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</si>
  <si>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</si>
  <si>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</si>
  <si>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</si>
  <si>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</si>
  <si>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</si>
  <si>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</si>
  <si>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</si>
  <si>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</si>
  <si>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</si>
  <si>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</si>
  <si>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</si>
  <si>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</si>
  <si>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</si>
  <si>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</si>
  <si>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</si>
  <si>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</si>
  <si>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</si>
  <si>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</si>
  <si>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</si>
  <si>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</si>
  <si>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</si>
  <si>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</si>
  <si>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</si>
  <si>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</si>
  <si>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</si>
  <si>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</si>
  <si>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</si>
  <si>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</si>
  <si>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</si>
  <si>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</si>
  <si>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</si>
  <si>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</si>
  <si>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</si>
  <si>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</si>
  <si>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</si>
  <si>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</si>
  <si>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</si>
  <si>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</si>
  <si>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</si>
  <si>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</si>
  <si>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</si>
  <si>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</si>
  <si>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</si>
  <si>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</si>
  <si>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</si>
  <si>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</si>
  <si>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</si>
  <si>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</si>
  <si>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</si>
  <si>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</si>
  <si>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</si>
  <si>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</si>
  <si>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</si>
  <si>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</si>
  <si>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</si>
  <si>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</si>
  <si>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</si>
  <si>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</si>
  <si>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</si>
  <si>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</si>
  <si>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</si>
  <si>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</si>
  <si>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</si>
  <si>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</si>
  <si>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</si>
  <si>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</si>
  <si>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</si>
  <si>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</si>
  <si>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</si>
  <si>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</si>
  <si>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</si>
  <si>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</si>
  <si>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</si>
  <si>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</si>
  <si>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</si>
  <si>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</si>
  <si>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</si>
  <si>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</si>
  <si>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</si>
  <si>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</si>
  <si>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</si>
  <si>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</si>
  <si>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</si>
  <si>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</si>
  <si>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</si>
  <si>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</si>
  <si>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</si>
  <si>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</si>
  <si>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</si>
  <si>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</si>
  <si>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</si>
  <si>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</si>
  <si>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</si>
  <si>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</si>
  <si>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</si>
  <si>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</si>
  <si>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</si>
  <si>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</si>
  <si>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</si>
  <si>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</si>
  <si>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</si>
  <si>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</si>
  <si>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</si>
  <si>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</si>
  <si>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</si>
  <si>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</si>
  <si>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</si>
  <si>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</si>
  <si>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</si>
  <si>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</si>
  <si>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</si>
  <si>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</si>
  <si>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</si>
  <si>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</si>
  <si>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</si>
  <si>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</si>
  <si>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</si>
  <si>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</si>
  <si>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</si>
  <si>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</si>
  <si>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</si>
  <si>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</si>
  <si>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</si>
  <si>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</si>
  <si>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</si>
  <si>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</si>
  <si>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</si>
  <si>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</si>
  <si>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</si>
  <si>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</si>
  <si>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</si>
  <si>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</si>
  <si>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</si>
  <si>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</si>
  <si>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</si>
  <si>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</si>
  <si>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</si>
  <si>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</si>
  <si>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</si>
  <si>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</si>
  <si>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</si>
  <si>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</si>
  <si>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</si>
  <si>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</si>
  <si>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</si>
  <si>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</si>
  <si>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</si>
  <si>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</si>
  <si>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</si>
  <si>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</si>
  <si>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</si>
  <si>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</si>
  <si>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</si>
  <si>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</si>
  <si>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</si>
  <si>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</si>
  <si>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</si>
  <si>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</si>
  <si>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</si>
  <si>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</si>
  <si>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</si>
  <si>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</si>
  <si>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</si>
  <si>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</si>
  <si>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</si>
  <si>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</si>
  <si>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</si>
  <si>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</si>
  <si>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</si>
  <si>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</si>
  <si>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</si>
  <si>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</si>
  <si>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</si>
  <si>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</si>
  <si>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</si>
  <si>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</si>
  <si>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</si>
  <si>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</si>
  <si>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</si>
  <si>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</si>
  <si>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</si>
  <si>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</si>
  <si>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</si>
  <si>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</si>
  <si>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</si>
  <si>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</si>
  <si>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</si>
  <si>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</si>
  <si>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</si>
  <si>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</si>
  <si>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</si>
  <si>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</si>
  <si>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</si>
  <si>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</si>
  <si>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</si>
  <si>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</si>
  <si>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</si>
  <si>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</si>
  <si>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</si>
  <si>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</si>
  <si>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</si>
  <si>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</si>
  <si>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</si>
  <si>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</si>
  <si>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</si>
  <si>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</si>
  <si>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</si>
  <si>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</si>
  <si>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</si>
  <si>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</si>
  <si>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</si>
  <si>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</si>
  <si>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</si>
  <si>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</si>
  <si>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</si>
  <si>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</si>
  <si>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</si>
  <si>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</si>
  <si>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</si>
  <si>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</si>
  <si>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</si>
  <si>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</si>
  <si>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</si>
  <si>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</si>
  <si>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</si>
  <si>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</si>
  <si>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</si>
  <si>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</si>
  <si>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</si>
  <si>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</si>
  <si>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</si>
  <si>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</si>
  <si>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</si>
  <si>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</si>
  <si>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</si>
  <si>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</si>
  <si>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</si>
  <si>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</si>
  <si>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</si>
  <si>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</si>
  <si>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</si>
  <si>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</si>
  <si>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</si>
  <si>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</si>
  <si>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</si>
  <si>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</si>
  <si>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</si>
  <si>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</si>
  <si>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</si>
  <si>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</si>
  <si>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</si>
  <si>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</si>
  <si>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</si>
  <si>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</si>
  <si>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</si>
  <si>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</si>
  <si>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</si>
  <si>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</si>
  <si>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</si>
  <si>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</si>
  <si>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</si>
  <si>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</si>
  <si>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</si>
  <si>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</si>
  <si>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</si>
  <si>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</si>
  <si>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</si>
  <si>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</si>
  <si>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</si>
  <si>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</si>
  <si>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</si>
  <si>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</si>
  <si>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</si>
  <si>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</si>
  <si>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</si>
  <si>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</si>
  <si>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</si>
  <si>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</si>
  <si>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</si>
  <si>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</si>
  <si>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</si>
  <si>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</si>
  <si>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</si>
  <si>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</si>
  <si>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</si>
  <si>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</si>
  <si>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</si>
  <si>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</si>
  <si>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</si>
  <si>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</si>
  <si>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</si>
  <si>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</si>
  <si>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</si>
  <si>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</si>
  <si>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</si>
  <si>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</si>
  <si>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</si>
  <si>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</si>
  <si>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</si>
  <si>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</si>
  <si>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</si>
  <si>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</si>
  <si>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</si>
  <si>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</si>
  <si>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</si>
  <si>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</si>
  <si>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</si>
  <si>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</si>
  <si>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</si>
  <si>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</si>
  <si>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</si>
  <si>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</si>
  <si>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</si>
  <si>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</si>
  <si>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</si>
  <si>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</si>
  <si>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</si>
  <si>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</si>
  <si>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</si>
  <si>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</si>
  <si>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</si>
  <si>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</si>
  <si>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</si>
  <si>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</si>
  <si>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</si>
  <si>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</si>
  <si>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</si>
  <si>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</si>
  <si>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</si>
  <si>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</si>
  <si>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</si>
  <si>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</si>
  <si>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</si>
  <si>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</si>
  <si>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</si>
  <si>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</si>
  <si>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</si>
  <si>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</si>
  <si>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</si>
  <si>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</si>
  <si>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</si>
  <si>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</si>
  <si>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</si>
  <si>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</si>
  <si>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</si>
  <si>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</si>
  <si>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</si>
  <si>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</si>
  <si>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</si>
  <si>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</si>
  <si>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</si>
  <si>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</si>
  <si>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</si>
  <si>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</si>
  <si>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</si>
  <si>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</si>
  <si>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</si>
  <si>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</si>
  <si>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</si>
  <si>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</si>
  <si>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</si>
  <si>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</si>
  <si>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</si>
  <si>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</si>
  <si>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</si>
  <si>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</si>
  <si>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</si>
  <si>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</si>
  <si>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</si>
  <si>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</si>
  <si>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</si>
  <si>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</si>
  <si>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</si>
  <si>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</si>
  <si>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</si>
  <si>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</si>
  <si>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</si>
  <si>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</si>
  <si>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</si>
  <si>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</si>
  <si>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</si>
  <si>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</si>
  <si>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</si>
  <si>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</si>
  <si>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</si>
  <si>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</si>
  <si>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</si>
  <si>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</si>
  <si>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</si>
  <si>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</si>
  <si>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</si>
  <si>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</si>
  <si>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</si>
  <si>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</si>
  <si>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</si>
  <si>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</si>
  <si>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</si>
  <si>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</si>
  <si>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</si>
  <si>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</si>
  <si>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</si>
  <si>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</si>
  <si>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</si>
  <si>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</si>
  <si>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</si>
  <si>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</si>
  <si>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</si>
  <si>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</si>
  <si>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</si>
  <si>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</si>
  <si>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</si>
  <si>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</si>
  <si>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</si>
  <si>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</si>
  <si>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</si>
  <si>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</si>
  <si>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</si>
  <si>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</si>
  <si>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</si>
  <si>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</si>
  <si>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</si>
  <si>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</si>
  <si>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</si>
  <si>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</si>
  <si>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</si>
  <si>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</si>
  <si>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</si>
  <si>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</si>
  <si>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</si>
  <si>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</si>
  <si>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</si>
  <si>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</si>
  <si>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</si>
  <si>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</si>
  <si>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</si>
  <si>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</si>
  <si>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</si>
  <si>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</si>
  <si>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</si>
  <si>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</si>
  <si>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</si>
  <si>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</si>
  <si>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</si>
  <si>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</si>
  <si>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</si>
  <si>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</si>
  <si>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</si>
  <si>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</si>
  <si>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</si>
  <si>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</si>
  <si>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</si>
  <si>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</si>
  <si>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</si>
  <si>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</si>
  <si>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</si>
  <si>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</si>
  <si>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</si>
  <si>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</si>
  <si>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</si>
  <si>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</si>
  <si>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</si>
  <si>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</si>
  <si>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</si>
  <si>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</si>
  <si>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</si>
  <si>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</si>
  <si>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</si>
  <si>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</si>
  <si>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</si>
  <si>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</si>
  <si>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</si>
  <si>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</si>
  <si>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</si>
  <si>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</si>
  <si>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</si>
  <si>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</si>
  <si>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</si>
  <si>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</si>
  <si>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</si>
  <si>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</si>
  <si>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</si>
  <si>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</si>
  <si>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</si>
  <si>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</si>
  <si>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</si>
  <si>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</si>
  <si>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</si>
  <si>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</si>
  <si>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</si>
  <si>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</si>
  <si>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</si>
  <si>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</si>
  <si>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</si>
  <si>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</si>
  <si>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</si>
  <si>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</si>
  <si>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</si>
  <si>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</si>
  <si>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</si>
  <si>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</si>
  <si>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</si>
  <si>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</si>
  <si>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</si>
  <si>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</si>
  <si>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</si>
  <si>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</si>
  <si>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</si>
  <si>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</si>
  <si>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</si>
  <si>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</si>
  <si>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</si>
  <si>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</si>
  <si>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</si>
  <si>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</si>
  <si>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</si>
  <si>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</si>
  <si>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</si>
  <si>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</si>
  <si>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</si>
  <si>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</si>
  <si>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</si>
  <si>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</si>
  <si>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</si>
  <si>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</si>
  <si>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</si>
  <si>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</si>
  <si>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</si>
  <si>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</si>
  <si>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</si>
  <si>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</si>
  <si>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</si>
  <si>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</si>
  <si>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</si>
  <si>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</si>
  <si>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</si>
  <si>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</si>
  <si>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</si>
  <si>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</si>
  <si>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</si>
  <si>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</si>
  <si>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</si>
  <si>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</si>
  <si>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</si>
  <si>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</si>
  <si>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</si>
  <si>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</si>
  <si>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</si>
  <si>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</si>
  <si>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</si>
  <si>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</si>
  <si>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</si>
  <si>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</si>
  <si>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</si>
  <si>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</si>
  <si>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</si>
  <si>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</si>
  <si>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</si>
  <si>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</si>
  <si>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</si>
  <si>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</si>
  <si>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</si>
  <si>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</si>
  <si>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</si>
  <si>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</si>
  <si>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</si>
  <si>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</si>
  <si>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</si>
  <si>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</si>
  <si>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</si>
  <si>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</si>
  <si>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</si>
  <si>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</si>
  <si>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</si>
  <si>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</si>
  <si>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</si>
  <si>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</si>
  <si>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</si>
  <si>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</si>
  <si>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</si>
  <si>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</si>
  <si>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</si>
  <si>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</si>
  <si>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</si>
  <si>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</si>
  <si>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</si>
  <si>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</si>
  <si>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</si>
  <si>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</si>
  <si>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</si>
  <si>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</si>
  <si>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</si>
  <si>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</si>
  <si>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</si>
  <si>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</si>
  <si>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</si>
  <si>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</si>
  <si>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</si>
  <si>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</si>
  <si>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</si>
  <si>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</si>
  <si>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</si>
  <si>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</si>
  <si>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</si>
  <si>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</si>
  <si>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</si>
  <si>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</si>
  <si>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</si>
  <si>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</si>
  <si>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</si>
  <si>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</si>
  <si>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</si>
  <si>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</si>
  <si>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</si>
  <si>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</si>
  <si>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</si>
  <si>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</si>
  <si>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</si>
  <si>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</si>
  <si>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</si>
  <si>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</si>
  <si>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</si>
  <si>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</si>
  <si>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</si>
  <si>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</si>
  <si>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</si>
  <si>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</si>
  <si>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</si>
  <si>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</si>
  <si>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</si>
  <si>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</si>
  <si>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</si>
  <si>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</si>
  <si>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</si>
  <si>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</si>
  <si>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</si>
  <si>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</si>
  <si>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</si>
  <si>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</si>
  <si>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</si>
  <si>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</si>
  <si>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</si>
  <si>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</si>
  <si>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</si>
  <si>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</si>
  <si>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</si>
  <si>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</si>
  <si>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</si>
  <si>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</si>
  <si>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</si>
  <si>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</si>
  <si>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</si>
  <si>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</si>
  <si>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</si>
  <si>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</si>
  <si>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</si>
  <si>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</si>
  <si>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</si>
  <si>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</si>
  <si>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</si>
  <si>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</si>
  <si>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</si>
  <si>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</si>
  <si>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</si>
  <si>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</si>
  <si>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</si>
  <si>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</si>
  <si>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</si>
  <si>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</si>
  <si>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</si>
  <si>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</si>
  <si>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</si>
  <si>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</si>
  <si>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</si>
  <si>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</si>
  <si>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</si>
  <si>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</si>
  <si>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</si>
  <si>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</si>
  <si>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</si>
  <si>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</si>
  <si>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</si>
  <si>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</si>
  <si>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</si>
  <si>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</si>
  <si>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</si>
  <si>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</si>
  <si>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</si>
  <si>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</si>
  <si>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</si>
  <si>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</si>
  <si>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</si>
  <si>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</si>
  <si>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</si>
  <si>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</si>
  <si>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</si>
  <si>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</si>
  <si>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</si>
  <si>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</si>
  <si>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</si>
  <si>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</si>
  <si>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</si>
  <si>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</si>
  <si>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</si>
  <si>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</si>
  <si>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</si>
  <si>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</si>
  <si>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</si>
  <si>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</si>
  <si>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</si>
  <si>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</si>
  <si>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</si>
  <si>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</si>
  <si>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</si>
  <si>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</si>
  <si>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</si>
  <si>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</si>
  <si>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</si>
  <si>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</si>
  <si>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</si>
  <si>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</si>
  <si>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</si>
  <si>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</si>
  <si>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</si>
  <si>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</si>
  <si>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</si>
  <si>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</si>
  <si>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</si>
  <si>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</si>
  <si>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</si>
  <si>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</si>
  <si>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</si>
  <si>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</si>
  <si>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</si>
  <si>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</si>
  <si>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</si>
  <si>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</si>
  <si>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</si>
  <si>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</si>
  <si>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</si>
  <si>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</si>
  <si>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</si>
  <si>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</si>
  <si>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</si>
  <si>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</si>
  <si>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</si>
  <si>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</si>
  <si>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</si>
  <si>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</si>
  <si>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</si>
  <si>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</si>
  <si>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</si>
  <si>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</si>
  <si>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</si>
  <si>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</si>
  <si>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</si>
  <si>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</si>
  <si>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</si>
  <si>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</si>
  <si>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</si>
  <si>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</si>
  <si>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</si>
  <si>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</si>
  <si>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</si>
  <si>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</si>
  <si>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</si>
  <si>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</si>
  <si>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</si>
  <si>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</si>
  <si>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</si>
  <si>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</si>
  <si>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</si>
  <si>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</si>
  <si>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</si>
  <si>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</si>
  <si>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</si>
  <si>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</si>
  <si>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</si>
  <si>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</si>
  <si>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</si>
  <si>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</si>
  <si>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</si>
  <si>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</si>
  <si>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</si>
  <si>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</si>
  <si>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</si>
  <si>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</si>
  <si>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</si>
  <si>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</si>
  <si>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</si>
  <si>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</si>
  <si>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</si>
  <si>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</si>
  <si>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</si>
  <si>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</si>
  <si>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</si>
  <si>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</si>
  <si>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</si>
  <si>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</si>
  <si>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</si>
  <si>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</si>
  <si>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</si>
  <si>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</si>
  <si>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</si>
  <si>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</si>
  <si>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</si>
  <si>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</si>
  <si>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</si>
  <si>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</si>
  <si>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</si>
  <si>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</si>
  <si>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</si>
  <si>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</si>
  <si>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</si>
  <si>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</si>
  <si>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</si>
  <si>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</si>
  <si>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</si>
  <si>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</si>
  <si>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</si>
  <si>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</si>
  <si>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</si>
  <si>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</si>
  <si>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</si>
  <si>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</si>
  <si>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</si>
  <si>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</si>
  <si>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</si>
  <si>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</si>
  <si>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</si>
  <si>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</si>
  <si>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</si>
  <si>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</si>
  <si>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</si>
  <si>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</si>
  <si>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</si>
  <si>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</si>
  <si>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</si>
  <si>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</si>
  <si>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</si>
  <si>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</si>
  <si>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</si>
  <si>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</si>
  <si>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</si>
  <si>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</si>
  <si>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</si>
  <si>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</si>
  <si>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</si>
  <si>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</si>
  <si>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</si>
  <si>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</si>
  <si>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</si>
  <si>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</si>
  <si>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</si>
  <si>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</si>
  <si>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</si>
  <si>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</si>
  <si>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</si>
  <si>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</si>
  <si>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</si>
  <si>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</si>
  <si>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</si>
  <si>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</si>
  <si>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</si>
  <si>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</si>
  <si>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</si>
  <si>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</si>
  <si>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</si>
  <si>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</si>
  <si>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</si>
  <si>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</si>
  <si>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</si>
  <si>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</si>
  <si>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</si>
  <si>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</si>
  <si>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</si>
  <si>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</si>
  <si>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</si>
  <si>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</si>
  <si>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</si>
  <si>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</si>
  <si>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</si>
  <si>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</si>
  <si>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</si>
  <si>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</si>
  <si>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</si>
  <si>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</si>
  <si>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</si>
  <si>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</si>
  <si>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</si>
  <si>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</si>
  <si>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</si>
  <si>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</si>
  <si>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</si>
  <si>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</si>
  <si>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</si>
  <si>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</si>
  <si>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</si>
  <si>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</si>
  <si>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</si>
  <si>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</si>
  <si>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</si>
  <si>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</si>
  <si>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</si>
  <si>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</si>
  <si>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</si>
  <si>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</si>
  <si>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</si>
  <si>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</si>
  <si>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</si>
  <si>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</si>
  <si>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</si>
  <si>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</si>
  <si>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</si>
  <si>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</si>
  <si>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</si>
  <si>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</si>
  <si>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</si>
  <si>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</si>
  <si>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</si>
  <si>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</si>
  <si>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</si>
  <si>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</si>
  <si>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</si>
  <si>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</si>
  <si>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</si>
  <si>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</si>
  <si>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</si>
  <si>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</si>
  <si>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</si>
  <si>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</si>
  <si>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</si>
  <si>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</si>
  <si>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</si>
  <si>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</si>
  <si>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</si>
  <si>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</si>
  <si>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</si>
  <si>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</si>
  <si>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</si>
  <si>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</si>
  <si>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</si>
  <si>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</si>
  <si>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</si>
  <si>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</si>
  <si>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</si>
  <si>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</si>
  <si>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</si>
  <si>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</si>
  <si>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</si>
  <si>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</si>
  <si>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</si>
  <si>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</si>
  <si>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</si>
  <si>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</si>
  <si>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</si>
  <si>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</si>
  <si>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</si>
  <si>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</si>
  <si>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</si>
  <si>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</si>
  <si>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</si>
  <si>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</si>
  <si>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</si>
  <si>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</si>
  <si>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</si>
  <si>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</si>
  <si>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</si>
  <si>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</si>
  <si>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</si>
  <si>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</si>
  <si>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</si>
  <si>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</si>
  <si>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</si>
  <si>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</si>
  <si>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</si>
  <si>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</si>
  <si>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</si>
  <si>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</si>
  <si>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</si>
  <si>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</si>
  <si>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</si>
  <si>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</si>
  <si>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</si>
  <si>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</si>
  <si>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</si>
  <si>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</si>
  <si>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</si>
  <si>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</si>
  <si>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</si>
  <si>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</si>
  <si>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</si>
  <si>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</si>
  <si>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</si>
  <si>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</si>
  <si>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</si>
  <si>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</si>
  <si>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</si>
  <si>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</si>
  <si>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</si>
  <si>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</si>
  <si>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</si>
  <si>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</si>
  <si>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</si>
  <si>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</si>
  <si>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</si>
  <si>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</si>
  <si>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</si>
  <si>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</si>
  <si>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</si>
  <si>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</si>
  <si>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</si>
  <si>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</si>
  <si>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</si>
  <si>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</si>
  <si>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</si>
  <si>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</si>
  <si>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</si>
  <si>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</si>
  <si>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</si>
  <si>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</si>
  <si>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</si>
  <si>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</si>
  <si>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</si>
  <si>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</si>
  <si>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</si>
  <si>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</si>
  <si>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</si>
  <si>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</si>
  <si>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</si>
  <si>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</si>
  <si>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</si>
  <si>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</si>
  <si>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</si>
  <si>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</si>
  <si>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</si>
  <si>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</si>
  <si>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</si>
  <si>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</si>
  <si>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</si>
  <si>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</si>
  <si>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</si>
  <si>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</si>
  <si>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</si>
  <si>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</si>
  <si>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</si>
  <si>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</si>
  <si>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</si>
  <si>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</si>
  <si>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</si>
  <si>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</si>
  <si>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</si>
  <si>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</si>
  <si>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</si>
  <si>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</si>
  <si>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</si>
  <si>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</si>
  <si>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</si>
  <si>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</si>
  <si>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</si>
  <si>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</si>
  <si>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</si>
  <si>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</si>
  <si>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</si>
  <si>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</si>
  <si>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</si>
  <si>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</si>
  <si>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</si>
  <si>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</si>
  <si>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</si>
  <si>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</si>
  <si>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</si>
  <si>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</si>
  <si>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</si>
  <si>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</si>
  <si>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</si>
  <si>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</si>
  <si>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</si>
  <si>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</si>
  <si>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</si>
  <si>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</si>
  <si>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</si>
  <si>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</si>
  <si>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</si>
  <si>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</si>
  <si>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</si>
  <si>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</si>
  <si>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</si>
  <si>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</si>
  <si>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</si>
  <si>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</si>
  <si>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</si>
  <si>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</si>
  <si>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</si>
  <si>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</si>
  <si>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</si>
  <si>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</si>
  <si>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</si>
  <si>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</si>
  <si>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</si>
  <si>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</si>
  <si>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</si>
  <si>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</si>
  <si>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</si>
  <si>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</si>
  <si>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</si>
  <si>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</si>
  <si>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</si>
  <si>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</si>
  <si>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</si>
  <si>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</si>
  <si>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</si>
  <si>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</si>
  <si>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</si>
  <si>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</si>
  <si>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</si>
  <si>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</si>
  <si>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</si>
  <si>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</si>
  <si>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</si>
  <si>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</si>
  <si>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</si>
  <si>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</si>
  <si>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</si>
  <si>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</si>
  <si>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</si>
  <si>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</si>
  <si>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</si>
  <si>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</si>
  <si>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</si>
  <si>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</si>
  <si>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</si>
  <si>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</si>
  <si>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</si>
  <si>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</si>
  <si>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</si>
  <si>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</si>
  <si>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</si>
  <si>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</si>
  <si>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</si>
  <si>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</si>
  <si>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</si>
  <si>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</si>
  <si>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</si>
  <si>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</si>
  <si>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</si>
  <si>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</si>
  <si>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</si>
  <si>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</si>
  <si>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</si>
  <si>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</si>
  <si>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</si>
  <si>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</si>
  <si>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</si>
  <si>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</si>
  <si>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</si>
  <si>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</si>
  <si>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</si>
  <si>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</si>
  <si>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</si>
  <si>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</si>
  <si>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</si>
  <si>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</si>
  <si>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</si>
  <si>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</si>
  <si>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</si>
  <si>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</si>
  <si>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</si>
  <si>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</si>
  <si>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</si>
  <si>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</si>
  <si>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</si>
  <si>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</si>
  <si>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</si>
  <si>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</si>
  <si>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</si>
  <si>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</si>
  <si>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</si>
  <si>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</si>
  <si>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</si>
  <si>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</si>
  <si>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</si>
  <si>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</si>
  <si>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</si>
  <si>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</si>
  <si>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</si>
  <si>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</si>
  <si>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</si>
  <si>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</si>
  <si>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</si>
  <si>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</si>
  <si>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</si>
  <si>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</si>
  <si>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</si>
  <si>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</si>
  <si>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</si>
  <si>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</si>
  <si>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</si>
  <si>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</si>
  <si>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</si>
  <si>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</si>
  <si>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</si>
  <si>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</si>
  <si>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</si>
  <si>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</si>
  <si>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</si>
  <si>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</si>
  <si>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</si>
  <si>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</si>
  <si>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</si>
  <si>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</si>
  <si>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</si>
  <si>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</si>
  <si>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</si>
  <si>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</si>
  <si>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</si>
  <si>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</si>
  <si>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</si>
  <si>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</si>
  <si>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</si>
  <si>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</si>
  <si>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</si>
  <si>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</si>
  <si>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</si>
  <si>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</si>
  <si>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</si>
  <si>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</si>
  <si>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</si>
  <si>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</si>
  <si>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</si>
  <si>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</si>
  <si>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</si>
  <si>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</si>
  <si>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</si>
  <si>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</si>
  <si>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</si>
  <si>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</si>
  <si>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</si>
  <si>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</si>
  <si>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</si>
  <si>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</si>
  <si>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</si>
  <si>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</si>
  <si>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</si>
  <si>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</si>
  <si>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</si>
  <si>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</si>
  <si>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</si>
  <si>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</si>
  <si>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</si>
  <si>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</si>
  <si>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</si>
  <si>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</si>
  <si>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</si>
  <si>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</si>
  <si>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</si>
  <si>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</si>
  <si>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</si>
  <si>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</si>
  <si>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</si>
  <si>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</si>
  <si>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</si>
  <si>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</si>
  <si>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</si>
  <si>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</si>
  <si>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</si>
  <si>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</si>
  <si>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</si>
  <si>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</si>
  <si>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</si>
  <si>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</si>
  <si>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</si>
  <si>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</si>
  <si>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</si>
  <si>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</si>
  <si>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</si>
  <si>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</si>
  <si>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</si>
  <si>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</si>
  <si>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</si>
  <si>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</si>
  <si>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</si>
  <si>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</si>
  <si>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</si>
  <si>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</si>
  <si>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</si>
  <si>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</si>
  <si>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</si>
  <si>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</si>
  <si>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</si>
  <si>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</si>
  <si>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</si>
  <si>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</si>
  <si>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</si>
  <si>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</si>
  <si>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</si>
  <si>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</si>
  <si>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</si>
  <si>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</si>
  <si>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</si>
  <si>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</si>
  <si>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</si>
  <si>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</si>
  <si>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</si>
  <si>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</si>
  <si>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</si>
  <si>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</si>
  <si>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</si>
  <si>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</si>
  <si>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</si>
  <si>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</si>
  <si>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</si>
  <si>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</si>
  <si>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</si>
  <si>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</si>
  <si>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</si>
  <si>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</si>
  <si>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</si>
  <si>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</si>
  <si>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</si>
  <si>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</si>
  <si>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</si>
  <si>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</si>
  <si>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</si>
  <si>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</si>
  <si>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</si>
  <si>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</si>
  <si>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</si>
  <si>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</si>
  <si>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</si>
  <si>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</si>
  <si>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</si>
  <si>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</si>
  <si>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</si>
  <si>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</si>
  <si>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</si>
  <si>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</si>
  <si>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</si>
  <si>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</si>
  <si>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</si>
  <si>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</si>
  <si>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</si>
  <si>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</si>
  <si>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</si>
  <si>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</si>
  <si>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</si>
  <si>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</si>
  <si>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</si>
  <si>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</si>
  <si>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</si>
  <si>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</si>
  <si>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</si>
  <si>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</si>
  <si>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</si>
  <si>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</si>
  <si>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</si>
  <si>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</si>
  <si>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</si>
  <si>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</si>
  <si>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</si>
  <si>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</si>
  <si>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</si>
  <si>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</si>
  <si>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</si>
  <si>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</si>
  <si>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</si>
  <si>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</si>
  <si>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</si>
  <si>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</si>
  <si>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</si>
  <si>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</si>
  <si>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</si>
  <si>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</si>
  <si>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</si>
  <si>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</si>
  <si>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</si>
  <si>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</si>
  <si>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</si>
  <si>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</si>
  <si>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</si>
  <si>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</si>
  <si>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</si>
  <si>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</si>
  <si>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</si>
  <si>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</si>
  <si>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</si>
  <si>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</si>
  <si>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</si>
  <si>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</si>
  <si>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</si>
  <si>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</si>
  <si>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</si>
  <si>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</si>
  <si>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</si>
  <si>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</si>
  <si>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</si>
  <si>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</si>
  <si>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</si>
  <si>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</si>
  <si>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</si>
  <si>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</si>
  <si>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</si>
  <si>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</si>
  <si>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</si>
  <si>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</si>
  <si>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</si>
  <si>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</si>
  <si>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</si>
  <si>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</si>
  <si>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</si>
  <si>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</si>
  <si>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</si>
  <si>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</si>
  <si>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</si>
  <si>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</si>
  <si>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</si>
  <si>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</si>
  <si>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</si>
  <si>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</si>
  <si>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</si>
  <si>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</si>
  <si>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</si>
  <si>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</si>
  <si>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</si>
  <si>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</si>
  <si>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</si>
  <si>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</si>
  <si>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</si>
  <si>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</si>
  <si>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</si>
  <si>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</si>
  <si>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</si>
  <si>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</si>
  <si>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</si>
  <si>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</si>
  <si>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</si>
  <si>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</si>
  <si>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</si>
  <si>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</si>
  <si>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</si>
  <si>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</si>
  <si>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</si>
  <si>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</si>
  <si>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</si>
  <si>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</si>
  <si>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</si>
  <si>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</si>
  <si>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</si>
  <si>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</si>
  <si>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</si>
  <si>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</si>
  <si>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</si>
  <si>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</si>
  <si>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</si>
  <si>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</si>
  <si>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</si>
  <si>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</si>
  <si>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</si>
  <si>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</si>
  <si>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</si>
  <si>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</si>
  <si>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</si>
  <si>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</si>
  <si>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</si>
  <si>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</si>
  <si>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</si>
  <si>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</si>
  <si>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</si>
  <si>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</si>
  <si>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</si>
  <si>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</si>
  <si>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</si>
  <si>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</si>
  <si>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</si>
  <si>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</si>
  <si>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</si>
  <si>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</si>
  <si>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</si>
  <si>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</si>
  <si>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</si>
  <si>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</si>
  <si>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</si>
  <si>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</si>
  <si>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</si>
  <si>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</si>
  <si>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</si>
  <si>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</si>
  <si>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</si>
  <si>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</si>
  <si>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</si>
  <si>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</si>
  <si>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</si>
  <si>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</si>
  <si>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</si>
  <si>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</si>
  <si>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</si>
  <si>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</si>
  <si>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</si>
  <si>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</si>
  <si>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</si>
  <si>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</si>
  <si>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</si>
  <si>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</si>
  <si>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</si>
  <si>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</si>
  <si>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</si>
  <si>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</si>
  <si>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</si>
  <si>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</si>
  <si>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</si>
  <si>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</si>
  <si>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</si>
  <si>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</si>
  <si>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</si>
  <si>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</si>
  <si>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</si>
  <si>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</si>
  <si>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</si>
  <si>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</si>
  <si>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</si>
  <si>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</si>
  <si>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</si>
  <si>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</si>
  <si>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</si>
  <si>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</si>
  <si>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</si>
  <si>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</si>
  <si>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</si>
  <si>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</si>
  <si>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</si>
  <si>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</si>
  <si>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</si>
  <si>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</si>
  <si>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</si>
  <si>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</si>
  <si>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</si>
  <si>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</si>
  <si>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</si>
  <si>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</si>
  <si>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</si>
  <si>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</si>
  <si>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</si>
  <si>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</si>
  <si>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</si>
  <si>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</si>
  <si>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</si>
  <si>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</si>
  <si>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</si>
  <si>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</si>
  <si>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</si>
  <si>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</si>
  <si>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</si>
  <si>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</si>
  <si>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</si>
  <si>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</si>
  <si>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</si>
  <si>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</si>
  <si>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</si>
  <si>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</si>
  <si>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</si>
  <si>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</si>
  <si>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</si>
  <si>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</si>
  <si>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</si>
  <si>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</si>
  <si>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</si>
  <si>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</si>
  <si>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</si>
  <si>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</si>
  <si>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</si>
  <si>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</si>
  <si>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</si>
  <si>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</si>
  <si>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</si>
  <si>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</si>
  <si>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</si>
  <si>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</si>
  <si>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</si>
  <si>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</si>
  <si>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</si>
  <si>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</si>
  <si>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</si>
  <si>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</si>
  <si>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</si>
  <si>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</si>
  <si>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</si>
  <si>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</si>
  <si>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</si>
  <si>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</si>
  <si>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</si>
  <si>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</si>
  <si>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</si>
  <si>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</si>
  <si>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</si>
  <si>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</si>
  <si>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</si>
  <si>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</si>
  <si>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</si>
  <si>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</si>
  <si>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</si>
  <si>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</si>
  <si>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</si>
  <si>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</si>
  <si>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</si>
  <si>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</si>
  <si>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</si>
  <si>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</si>
  <si>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</si>
  <si>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</si>
  <si>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</si>
  <si>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</si>
  <si>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</si>
  <si>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</si>
  <si>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</si>
  <si>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</si>
  <si>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</si>
  <si>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</si>
  <si>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</si>
  <si>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</si>
  <si>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</si>
  <si>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</si>
  <si>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</si>
  <si>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</si>
  <si>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</si>
  <si>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</si>
  <si>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</si>
  <si>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</si>
  <si>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</si>
  <si>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</si>
  <si>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</si>
  <si>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</si>
  <si>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</si>
  <si>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</si>
  <si>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</si>
  <si>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</si>
  <si>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</si>
  <si>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</si>
  <si>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</si>
  <si>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</si>
  <si>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</si>
  <si>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</si>
  <si>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</si>
  <si>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</si>
  <si>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</si>
  <si>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</si>
  <si>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</si>
  <si>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</si>
  <si>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</si>
  <si>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</si>
  <si>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</si>
  <si>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</si>
  <si>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</si>
  <si>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</si>
  <si>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</si>
  <si>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</si>
  <si>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</si>
  <si>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</si>
  <si>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</si>
  <si>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</si>
  <si>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</si>
  <si>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</si>
  <si>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</si>
  <si>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</si>
  <si>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</si>
  <si>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</si>
  <si>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</si>
  <si>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</si>
  <si>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</si>
  <si>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</si>
  <si>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</si>
  <si>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</si>
  <si>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</si>
  <si>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</si>
  <si>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</si>
  <si>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</si>
  <si>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</si>
  <si>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</si>
  <si>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</si>
  <si>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</si>
  <si>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</si>
  <si>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</si>
  <si>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</si>
  <si>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</si>
  <si>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</si>
  <si>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</si>
  <si>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</si>
  <si>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</si>
  <si>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</si>
  <si>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</si>
  <si>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</si>
  <si>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</si>
  <si>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</si>
  <si>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</si>
  <si>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</si>
  <si>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</si>
  <si>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</si>
  <si>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</si>
  <si>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</si>
  <si>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</si>
  <si>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</si>
  <si>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</si>
  <si>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</si>
  <si>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</si>
  <si>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</si>
  <si>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</si>
  <si>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</si>
  <si>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</si>
  <si>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</si>
  <si>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</si>
  <si>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</si>
  <si>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</si>
  <si>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</si>
  <si>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</si>
  <si>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</si>
  <si>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</si>
  <si>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</si>
  <si>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</si>
  <si>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</si>
  <si>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</si>
  <si>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</si>
  <si>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</si>
  <si>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</si>
  <si>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</si>
  <si>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</si>
  <si>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</si>
  <si>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</si>
  <si>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</si>
  <si>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</si>
  <si>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</si>
  <si>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</si>
  <si>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</si>
  <si>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</si>
  <si>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</si>
  <si>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</si>
  <si>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</si>
  <si>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</si>
  <si>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</si>
  <si>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</si>
  <si>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</si>
  <si>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</si>
  <si>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</si>
  <si>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</si>
  <si>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</si>
  <si>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</si>
  <si>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</si>
  <si>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</si>
  <si>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</si>
  <si>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</si>
  <si>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</si>
  <si>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</si>
  <si>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</si>
  <si>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</si>
  <si>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</si>
  <si>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</si>
  <si>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</si>
  <si>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</si>
  <si>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</si>
  <si>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</si>
  <si>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</si>
  <si>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</si>
  <si>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</si>
  <si>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</si>
  <si>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</si>
  <si>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</si>
  <si>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</si>
  <si>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</si>
  <si>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</si>
  <si>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</si>
  <si>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</si>
  <si>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</si>
  <si>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</si>
  <si>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</si>
  <si>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</si>
  <si>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</si>
  <si>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</si>
  <si>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</si>
  <si>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</si>
  <si>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</si>
  <si>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</si>
  <si>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</si>
  <si>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</si>
  <si>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</si>
  <si>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</si>
  <si>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</si>
  <si>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</si>
  <si>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</si>
  <si>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</si>
  <si>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</si>
  <si>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</si>
  <si>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</si>
  <si>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</si>
  <si>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</si>
  <si>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</si>
  <si>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</si>
  <si>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</si>
  <si>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</si>
  <si>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</si>
  <si>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</si>
  <si>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</si>
  <si>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</si>
  <si>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</si>
  <si>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</si>
  <si>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</si>
  <si>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</si>
  <si>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</si>
  <si>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</si>
  <si>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</si>
  <si>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</si>
  <si>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</si>
  <si>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</si>
  <si>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</si>
  <si>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</si>
  <si>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</si>
  <si>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</si>
  <si>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</si>
  <si>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</si>
  <si>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</si>
  <si>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</si>
  <si>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</si>
  <si>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</si>
  <si>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</si>
  <si>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</si>
  <si>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</si>
  <si>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</si>
  <si>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</si>
  <si>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</si>
  <si>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</si>
  <si>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</si>
  <si>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</si>
  <si>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</si>
  <si>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</si>
  <si>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</si>
  <si>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</si>
  <si>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</si>
  <si>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</si>
  <si>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</si>
  <si>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</si>
  <si>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</si>
  <si>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</si>
  <si>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</si>
  <si>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</si>
  <si>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</si>
  <si>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</si>
  <si>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</si>
  <si>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</si>
  <si>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</si>
  <si>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</si>
  <si>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</si>
  <si>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</si>
  <si>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</si>
  <si>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</si>
  <si>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</si>
  <si>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</si>
  <si>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</si>
  <si>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</si>
  <si>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</si>
  <si>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</si>
  <si>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</si>
  <si>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</si>
  <si>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</si>
  <si>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</si>
  <si>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</si>
  <si>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</si>
  <si>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</si>
  <si>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</si>
  <si>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</si>
  <si>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</si>
  <si>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</si>
  <si>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</si>
  <si>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</si>
  <si>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</si>
  <si>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</si>
  <si>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</si>
  <si>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</si>
  <si>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</si>
  <si>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</si>
  <si>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</si>
  <si>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</si>
  <si>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</si>
  <si>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</si>
  <si>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</si>
  <si>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</si>
  <si>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</si>
  <si>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</si>
  <si>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</si>
  <si>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</si>
  <si>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</si>
  <si>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</si>
  <si>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</si>
  <si>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</si>
  <si>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</si>
  <si>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</si>
  <si>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</si>
  <si>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</si>
  <si>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</si>
  <si>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</si>
  <si>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</si>
  <si>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</si>
  <si>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</si>
  <si>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</si>
  <si>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</si>
  <si>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</si>
  <si>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</si>
  <si>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</si>
  <si>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</si>
  <si>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</si>
  <si>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</si>
  <si>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</si>
  <si>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</si>
  <si>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</si>
  <si>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</si>
  <si>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</si>
  <si>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</si>
  <si>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</si>
  <si>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</si>
  <si>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</si>
  <si>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</si>
  <si>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</si>
  <si>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</si>
  <si>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</si>
  <si>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</si>
  <si>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</si>
  <si>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</si>
  <si>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</si>
  <si>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</si>
  <si>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</si>
  <si>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</si>
  <si>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</si>
  <si>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</si>
  <si>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</si>
  <si>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</si>
  <si>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</si>
  <si>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</si>
  <si>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</si>
  <si>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</si>
  <si>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</si>
  <si>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</si>
  <si>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</si>
  <si>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</si>
  <si>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</si>
  <si>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</si>
  <si>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</si>
  <si>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</si>
  <si>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</si>
  <si>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</si>
  <si>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</si>
  <si>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</si>
  <si>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</si>
  <si>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</si>
  <si>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</si>
  <si>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</si>
  <si>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</si>
  <si>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</si>
  <si>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</si>
  <si>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</si>
  <si>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</si>
  <si>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</si>
  <si>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</si>
  <si>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</si>
  <si>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</si>
  <si>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</si>
  <si>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</si>
  <si>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</si>
  <si>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</si>
  <si>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</si>
  <si>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</si>
  <si>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</si>
  <si>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</si>
  <si>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</si>
  <si>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</si>
  <si>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</si>
  <si>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</si>
  <si>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</si>
  <si>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</si>
  <si>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</si>
  <si>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</si>
  <si>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</si>
  <si>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</si>
  <si>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</si>
  <si>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</si>
  <si>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</si>
  <si>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</si>
  <si>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</si>
  <si>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</si>
  <si>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</si>
  <si>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</si>
  <si>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</si>
  <si>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</si>
  <si>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</si>
  <si>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</si>
  <si>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</si>
  <si>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</si>
  <si>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</si>
  <si>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</si>
  <si>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</si>
  <si>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</si>
  <si>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</si>
  <si>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</si>
  <si>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</si>
  <si>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</si>
  <si>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</si>
  <si>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</si>
  <si>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</si>
  <si>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</si>
  <si>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</si>
  <si>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</si>
  <si>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</si>
  <si>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</si>
  <si>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</si>
  <si>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</si>
  <si>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</si>
  <si>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</si>
  <si>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</si>
  <si>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</si>
  <si>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</si>
  <si>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</si>
  <si>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</si>
  <si>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</si>
  <si>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</si>
  <si>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</si>
  <si>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</si>
  <si>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</si>
  <si>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</si>
  <si>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</si>
  <si>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</si>
  <si>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</si>
  <si>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</si>
  <si>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</si>
  <si>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</si>
  <si>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</si>
  <si>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</si>
  <si>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</si>
  <si>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</si>
  <si>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</si>
  <si>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</si>
  <si>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</si>
  <si>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</si>
  <si>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</si>
  <si>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</si>
  <si>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</si>
  <si>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</si>
  <si>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</si>
  <si>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</si>
  <si>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</si>
  <si>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</si>
  <si>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</si>
  <si>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</si>
  <si>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</si>
  <si>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</si>
  <si>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</si>
  <si>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</si>
  <si>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</si>
  <si>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</si>
  <si>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</si>
  <si>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</si>
  <si>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</si>
  <si>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</si>
  <si>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</si>
  <si>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</si>
  <si>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</si>
  <si>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</si>
  <si>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</si>
  <si>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</si>
  <si>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</si>
  <si>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</si>
  <si>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</si>
  <si>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</si>
  <si>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</si>
  <si>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</si>
  <si>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</si>
  <si>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</si>
  <si>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</si>
  <si>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</si>
  <si>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</si>
  <si>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</si>
  <si>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</si>
  <si>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</si>
  <si>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</si>
  <si>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</si>
  <si>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</si>
  <si>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</si>
  <si>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</si>
  <si>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</si>
  <si>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</si>
  <si>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</si>
  <si>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</si>
  <si>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</si>
  <si>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</si>
  <si>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</si>
  <si>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</si>
  <si>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</si>
  <si>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</si>
  <si>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</si>
  <si>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</si>
  <si>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</si>
  <si>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</si>
  <si>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</si>
  <si>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</si>
  <si>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</si>
  <si>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</si>
  <si>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</si>
  <si>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</si>
  <si>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</si>
  <si>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</si>
  <si>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</si>
  <si>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</si>
  <si>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</si>
  <si>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</si>
  <si>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</si>
  <si>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</si>
  <si>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</si>
  <si>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</si>
  <si>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</si>
  <si>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</si>
  <si>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</si>
  <si>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</si>
  <si>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</si>
  <si>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</si>
  <si>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</si>
  <si>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</si>
  <si>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</si>
  <si>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</si>
  <si>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</si>
  <si>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</si>
  <si>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</si>
  <si>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</si>
  <si>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</si>
  <si>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</si>
  <si>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</si>
  <si>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</si>
  <si>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</si>
  <si>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</si>
  <si>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</si>
  <si>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</si>
  <si>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</si>
  <si>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</si>
  <si>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</si>
  <si>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</si>
  <si>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</si>
  <si>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</si>
  <si>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</si>
  <si>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</si>
  <si>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</si>
  <si>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</si>
  <si>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</si>
  <si>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</si>
  <si>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</si>
  <si>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</si>
  <si>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</si>
  <si>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</si>
  <si>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</si>
  <si>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</si>
  <si>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</si>
  <si>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</si>
  <si>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</si>
  <si>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</si>
  <si>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</si>
  <si>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</si>
  <si>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</si>
  <si>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</si>
  <si>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</si>
  <si>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</si>
  <si>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</si>
  <si>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</si>
  <si>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</si>
  <si>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</si>
  <si>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</si>
  <si>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</si>
  <si>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</si>
  <si>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</si>
  <si>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</si>
  <si>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</si>
  <si>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</si>
  <si>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</si>
  <si>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</si>
  <si>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</si>
  <si>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</si>
  <si>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</si>
  <si>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</si>
  <si>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</si>
  <si>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</si>
  <si>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</si>
  <si>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</si>
  <si>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</si>
  <si>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</si>
  <si>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</si>
  <si>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</si>
  <si>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</si>
  <si>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</si>
  <si>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</si>
  <si>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</si>
  <si>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</si>
  <si>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</si>
  <si>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</si>
  <si>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</si>
  <si>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</si>
  <si>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</si>
  <si>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</si>
  <si>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</si>
  <si>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</si>
  <si>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</si>
  <si>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</si>
  <si>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</si>
  <si>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</si>
  <si>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</si>
  <si>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</si>
  <si>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</si>
  <si>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</si>
  <si>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</si>
  <si>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</si>
  <si>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</si>
  <si>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</si>
  <si>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</si>
  <si>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</si>
  <si>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</si>
  <si>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</si>
  <si>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</si>
  <si>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</si>
  <si>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</si>
  <si>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</si>
  <si>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</si>
  <si>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</si>
  <si>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</si>
  <si>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</si>
  <si>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</si>
  <si>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</si>
  <si>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</si>
  <si>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</si>
  <si>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</si>
  <si>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</si>
  <si>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</si>
  <si>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</si>
  <si>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</si>
  <si>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</si>
  <si>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</si>
  <si>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</si>
  <si>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</si>
  <si>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</si>
  <si>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</si>
  <si>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</si>
  <si>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</si>
  <si>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</si>
  <si>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</si>
  <si>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</si>
  <si>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</si>
  <si>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</si>
  <si>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</si>
  <si>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</si>
  <si>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</si>
  <si>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</si>
  <si>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</si>
  <si>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</si>
  <si>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</si>
  <si>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</si>
  <si>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</si>
  <si>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</si>
  <si>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</si>
  <si>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</si>
  <si>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</si>
  <si>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</si>
  <si>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</si>
  <si>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</si>
  <si>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</si>
  <si>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</si>
  <si>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</si>
  <si>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</si>
  <si>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</si>
  <si>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</si>
  <si>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</si>
  <si>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</si>
  <si>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</si>
  <si>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</si>
  <si>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</si>
  <si>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</si>
  <si>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</si>
  <si>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</si>
  <si>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</si>
  <si>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</si>
  <si>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</si>
  <si>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</si>
  <si>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</si>
  <si>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</si>
  <si>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</si>
  <si>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</si>
  <si>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</si>
  <si>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</si>
  <si>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</si>
  <si>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</si>
  <si>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</si>
  <si>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</si>
  <si>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</si>
  <si>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</si>
  <si>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</si>
  <si>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</si>
  <si>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</si>
  <si>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</si>
  <si>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</si>
  <si>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</si>
  <si>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</si>
  <si>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</si>
  <si>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</si>
  <si>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</si>
  <si>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</si>
  <si>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</si>
  <si>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</si>
  <si>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</si>
  <si>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</si>
  <si>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</si>
  <si>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</si>
  <si>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</si>
  <si>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</si>
  <si>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</si>
  <si>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</si>
  <si>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</si>
  <si>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</si>
  <si>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</si>
  <si>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</si>
  <si>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</si>
  <si>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</si>
  <si>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</si>
  <si>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</si>
  <si>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</si>
  <si>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</si>
  <si>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</si>
  <si>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</si>
  <si>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</si>
  <si>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</si>
  <si>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</si>
  <si>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</si>
  <si>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</si>
  <si>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</si>
  <si>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</si>
  <si>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</si>
  <si>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</si>
  <si>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</si>
  <si>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</si>
  <si>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</si>
  <si>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</si>
  <si>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</si>
  <si>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</si>
  <si>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</si>
  <si>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</si>
  <si>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</si>
  <si>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</si>
  <si>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</si>
  <si>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</si>
  <si>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</si>
  <si>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</si>
  <si>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</si>
  <si>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</si>
  <si>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</si>
  <si>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</si>
  <si>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</si>
  <si>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</si>
  <si>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</si>
  <si>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</si>
  <si>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</si>
  <si>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</si>
  <si>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</si>
  <si>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</si>
  <si>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</si>
  <si>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</si>
  <si>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</si>
  <si>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</si>
  <si>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</si>
  <si>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</si>
  <si>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</si>
  <si>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</si>
  <si>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</si>
  <si>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</si>
  <si>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</si>
  <si>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</si>
  <si>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</si>
  <si>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</si>
  <si>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</si>
  <si>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</si>
  <si>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</si>
  <si>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</si>
  <si>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</si>
  <si>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</si>
  <si>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</si>
  <si>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</si>
  <si>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</si>
  <si>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</si>
  <si>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</si>
  <si>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</si>
  <si>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</si>
  <si>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</si>
  <si>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</si>
  <si>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</si>
  <si>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</si>
  <si>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</si>
  <si>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</si>
  <si>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</si>
  <si>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</si>
  <si>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</si>
  <si>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</si>
  <si>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</si>
  <si>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</si>
  <si>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</si>
  <si>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</si>
  <si>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</si>
  <si>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</si>
  <si>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</si>
  <si>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</si>
  <si>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</si>
  <si>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</si>
  <si>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</si>
  <si>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</si>
  <si>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</si>
  <si>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</si>
  <si>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</si>
  <si>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</si>
  <si>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</si>
  <si>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</si>
  <si>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</si>
  <si>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</si>
  <si>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</si>
  <si>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</si>
  <si>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</si>
  <si>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</si>
  <si>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</si>
  <si>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</si>
  <si>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</si>
  <si>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</si>
  <si>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</si>
  <si>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</si>
  <si>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</si>
  <si>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</si>
  <si>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</si>
  <si>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</si>
  <si>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</si>
  <si>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</si>
  <si>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</si>
  <si>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</si>
  <si>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</si>
  <si>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</si>
  <si>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</si>
  <si>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</si>
  <si>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</si>
  <si>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</si>
  <si>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</si>
  <si>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</si>
  <si>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</si>
  <si>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</si>
  <si>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</si>
  <si>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</si>
  <si>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</si>
  <si>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</si>
  <si>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</si>
  <si>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</si>
  <si>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</si>
  <si>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</si>
  <si>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</si>
  <si>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</si>
  <si>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</si>
  <si>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</si>
  <si>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</si>
  <si>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</si>
  <si>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</si>
  <si>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</si>
  <si>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</si>
  <si>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</si>
  <si>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</si>
  <si>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</si>
  <si>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</si>
  <si>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</si>
  <si>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</si>
  <si>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</si>
  <si>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</si>
  <si>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</si>
  <si>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</si>
  <si>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</si>
  <si>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</si>
  <si>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</si>
  <si>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</si>
  <si>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</si>
  <si>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</si>
  <si>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</si>
  <si>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</si>
  <si>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</si>
  <si>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</si>
  <si>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</si>
  <si>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</si>
  <si>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</si>
  <si>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</si>
  <si>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</si>
  <si>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</si>
  <si>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</si>
  <si>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</si>
  <si>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</si>
  <si>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</si>
  <si>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</si>
  <si>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</si>
  <si>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</si>
  <si>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</si>
  <si>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</si>
  <si>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</si>
  <si>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</si>
  <si>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</si>
  <si>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</si>
  <si>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</si>
  <si>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</si>
  <si>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</si>
  <si>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</si>
  <si>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</si>
  <si>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</si>
  <si>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</si>
  <si>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</si>
  <si>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</si>
  <si>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</si>
  <si>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</si>
  <si>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</si>
  <si>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</si>
  <si>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</si>
  <si>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</si>
  <si>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</si>
  <si>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</si>
  <si>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</si>
  <si>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</si>
  <si>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</si>
  <si>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</si>
  <si>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</si>
  <si>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</si>
  <si>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</si>
  <si>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</si>
  <si>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</si>
  <si>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</si>
  <si>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</si>
  <si>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</si>
  <si>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</si>
  <si>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</si>
  <si>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</si>
  <si>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</si>
  <si>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</si>
  <si>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</si>
  <si>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</si>
  <si>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</si>
  <si>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</si>
  <si>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</si>
  <si>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</si>
  <si>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</si>
  <si>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</si>
  <si>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</si>
  <si>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</si>
  <si>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</si>
  <si>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</si>
  <si>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</si>
  <si>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</si>
  <si>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</si>
  <si>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</si>
  <si>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</si>
  <si>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</si>
  <si>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</si>
  <si>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</si>
  <si>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</si>
  <si>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</si>
  <si>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</si>
  <si>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</si>
  <si>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</si>
  <si>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</si>
  <si>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</si>
  <si>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</si>
  <si>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</si>
  <si>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</si>
  <si>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</si>
  <si>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</si>
  <si>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</si>
  <si>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</si>
  <si>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</si>
  <si>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</si>
  <si>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</si>
  <si>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</si>
  <si>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</si>
  <si>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</si>
  <si>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</si>
  <si>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</si>
  <si>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</si>
  <si>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</si>
  <si>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</si>
  <si>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</si>
  <si>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</si>
  <si>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</si>
  <si>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</si>
  <si>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</si>
  <si>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</si>
  <si>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</si>
  <si>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</si>
  <si>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</si>
  <si>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</si>
  <si>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</si>
  <si>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</si>
  <si>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</si>
  <si>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</si>
  <si>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</si>
  <si>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</si>
  <si>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</si>
  <si>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</si>
  <si>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</si>
  <si>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</si>
  <si>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</si>
  <si>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</si>
  <si>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</si>
  <si>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</si>
  <si>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</si>
  <si>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</si>
  <si>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</si>
  <si>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</si>
  <si>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</si>
  <si>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</si>
  <si>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</si>
  <si>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</si>
  <si>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</si>
  <si>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</si>
  <si>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</si>
  <si>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</si>
  <si>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</si>
  <si>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</si>
  <si>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</si>
  <si>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</si>
  <si>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</si>
  <si>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</si>
  <si>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</si>
  <si>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</si>
  <si>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</si>
  <si>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</si>
  <si>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</si>
  <si>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</si>
  <si>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</si>
  <si>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</si>
  <si>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</si>
  <si>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</si>
  <si>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</si>
  <si>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</si>
  <si>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</si>
  <si>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</si>
  <si>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</si>
  <si>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</si>
  <si>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</si>
  <si>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</si>
  <si>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</si>
  <si>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</si>
  <si>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</si>
  <si>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</si>
  <si>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</si>
  <si>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</si>
  <si>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</si>
  <si>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</si>
  <si>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</si>
  <si>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</si>
  <si>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</si>
  <si>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</si>
  <si>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</si>
  <si>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</si>
  <si>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</si>
  <si>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</si>
  <si>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</si>
  <si>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</si>
  <si>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</si>
  <si>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</si>
  <si>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</si>
  <si>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</si>
  <si>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</si>
  <si>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</si>
  <si>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</si>
  <si>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</si>
  <si>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</si>
  <si>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</si>
  <si>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</si>
  <si>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</si>
  <si>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</si>
  <si>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</si>
  <si>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</si>
  <si>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</si>
  <si>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</si>
  <si>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</si>
  <si>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</si>
  <si>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</si>
  <si>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</si>
  <si>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</si>
  <si>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</si>
  <si>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</si>
  <si>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</si>
  <si>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</si>
  <si>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</si>
  <si>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</si>
  <si>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</si>
  <si>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</si>
  <si>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</si>
  <si>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</si>
  <si>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</si>
  <si>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</si>
  <si>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</si>
  <si>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</si>
  <si>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</si>
  <si>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</si>
  <si>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</si>
  <si>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</si>
  <si>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</si>
  <si>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</si>
  <si>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</si>
  <si>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</si>
  <si>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</si>
  <si>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</si>
  <si>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</si>
  <si>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</si>
  <si>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</si>
  <si>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</si>
  <si>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</si>
  <si>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</si>
  <si>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</si>
  <si>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</si>
  <si>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</si>
  <si>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</si>
  <si>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</si>
  <si>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</si>
  <si>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</si>
  <si>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</si>
  <si>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</si>
  <si>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</si>
  <si>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</si>
  <si>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</si>
  <si>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</si>
  <si>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</si>
  <si>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</si>
  <si>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</si>
  <si>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</si>
  <si>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</si>
  <si>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</si>
  <si>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</si>
  <si>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</si>
  <si>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</si>
  <si>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</si>
  <si>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</si>
  <si>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</si>
  <si>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</si>
  <si>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</si>
  <si>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</si>
  <si>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</si>
  <si>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</si>
  <si>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</si>
  <si>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</si>
  <si>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</si>
  <si>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</si>
  <si>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</si>
  <si>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</si>
  <si>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</si>
  <si>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</si>
  <si>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</si>
  <si>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</si>
  <si>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</si>
  <si>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</si>
  <si>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</si>
  <si>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</si>
  <si>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</si>
  <si>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</si>
  <si>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</si>
  <si>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</si>
  <si>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</si>
  <si>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</si>
  <si>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</si>
  <si>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</si>
  <si>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</si>
  <si>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</si>
  <si>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</si>
  <si>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</si>
  <si>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</si>
  <si>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</si>
  <si>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</si>
  <si>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</si>
  <si>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</si>
  <si>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</si>
  <si>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</si>
  <si>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</si>
  <si>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</si>
  <si>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</si>
  <si>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</si>
  <si>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</si>
  <si>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</si>
  <si>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</si>
  <si>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</si>
  <si>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</si>
  <si>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</si>
  <si>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</si>
  <si>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</si>
  <si>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</si>
  <si>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</si>
  <si>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</si>
  <si>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</si>
  <si>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</si>
  <si>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</si>
  <si>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</si>
  <si>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</si>
  <si>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</si>
  <si>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</si>
  <si>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</si>
  <si>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</si>
  <si>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</si>
  <si>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</si>
  <si>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</si>
  <si>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</si>
  <si>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</si>
  <si>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</si>
  <si>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</si>
  <si>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</si>
  <si>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</si>
  <si>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</si>
  <si>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</si>
  <si>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</si>
  <si>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</si>
  <si>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</si>
  <si>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</si>
  <si>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</si>
  <si>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</si>
  <si>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</si>
  <si>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</si>
  <si>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</si>
  <si>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</si>
  <si>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</si>
  <si>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</si>
  <si>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</si>
  <si>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</si>
  <si>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</si>
  <si>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</si>
  <si>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</si>
  <si>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</si>
  <si>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</si>
  <si>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</si>
  <si>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</si>
  <si>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</si>
  <si>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</si>
  <si>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</si>
  <si>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</si>
  <si>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</si>
  <si>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</si>
  <si>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</si>
  <si>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</si>
  <si>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</si>
  <si>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</si>
  <si>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</si>
  <si>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</si>
  <si>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</si>
  <si>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</si>
  <si>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</si>
  <si>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</si>
  <si>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</si>
  <si>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</si>
  <si>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</si>
  <si>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</si>
  <si>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</si>
  <si>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</si>
  <si>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</si>
  <si>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</si>
  <si>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</si>
  <si>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</si>
  <si>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</si>
  <si>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</si>
  <si>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</si>
  <si>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</si>
  <si>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</si>
  <si>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</si>
  <si>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</si>
  <si>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</si>
  <si>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</si>
  <si>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</si>
  <si>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</si>
  <si>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</si>
  <si>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</si>
  <si>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</si>
  <si>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</si>
  <si>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</si>
  <si>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</si>
  <si>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</si>
  <si>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</si>
  <si>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</si>
  <si>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</si>
  <si>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</si>
  <si>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</si>
  <si>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</si>
  <si>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</si>
  <si>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</si>
  <si>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</si>
  <si>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</si>
  <si>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</si>
  <si>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</si>
  <si>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</si>
  <si>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</si>
  <si>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</si>
  <si>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</si>
  <si>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</si>
  <si>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</si>
  <si>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</si>
  <si>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</si>
  <si>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</si>
  <si>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</si>
  <si>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</si>
  <si>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</si>
  <si>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</si>
  <si>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</si>
  <si>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</si>
  <si>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</si>
  <si>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</si>
  <si>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</si>
  <si>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</si>
  <si>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</si>
  <si>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</si>
  <si>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</si>
  <si>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</si>
  <si>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</si>
  <si>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</si>
  <si>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</si>
  <si>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</si>
  <si>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</si>
  <si>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</si>
  <si>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</si>
  <si>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</si>
  <si>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</si>
  <si>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</si>
  <si>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</si>
  <si>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</si>
  <si>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</si>
  <si>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</si>
  <si>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</si>
  <si>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</si>
  <si>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</si>
  <si>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</si>
  <si>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</si>
  <si>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</si>
  <si>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</si>
  <si>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</si>
  <si>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</si>
  <si>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</si>
  <si>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</si>
  <si>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</si>
  <si>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</si>
  <si>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</si>
  <si>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</si>
  <si>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</si>
  <si>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</si>
  <si>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</si>
  <si>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</si>
  <si>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</si>
  <si>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</si>
  <si>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</si>
  <si>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</si>
  <si>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</si>
  <si>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</si>
  <si>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</si>
  <si>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</si>
  <si>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</si>
  <si>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</si>
  <si>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</si>
  <si>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</si>
  <si>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</si>
  <si>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</si>
  <si>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</si>
  <si>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</si>
  <si>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</si>
  <si>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</si>
  <si>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</si>
  <si>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</si>
  <si>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</si>
  <si>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</si>
  <si>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</si>
  <si>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</si>
  <si>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</si>
  <si>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</si>
  <si>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</si>
  <si>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</si>
  <si>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</si>
  <si>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</si>
  <si>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</si>
  <si>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</si>
  <si>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</si>
  <si>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</si>
  <si>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</si>
  <si>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</si>
  <si>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</si>
  <si>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</si>
  <si>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</si>
  <si>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</si>
  <si>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</si>
  <si>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</si>
  <si>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</si>
  <si>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</si>
  <si>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</si>
  <si>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</si>
  <si>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</si>
  <si>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</si>
  <si>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</si>
  <si>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</si>
  <si>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</si>
  <si>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</si>
  <si>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</si>
  <si>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</si>
  <si>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</si>
  <si>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</si>
  <si>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</si>
  <si>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</si>
  <si>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</si>
  <si>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</si>
  <si>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</si>
  <si>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</si>
  <si>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</si>
  <si>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</si>
  <si>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</si>
  <si>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</si>
  <si>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</si>
  <si>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</si>
  <si>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</si>
  <si>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</si>
  <si>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</si>
  <si>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</si>
  <si>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</si>
  <si>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</si>
  <si>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</si>
  <si>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</si>
  <si>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</si>
  <si>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</si>
  <si>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</si>
  <si>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</si>
  <si>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</si>
  <si>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</si>
  <si>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</si>
  <si>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</si>
  <si>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</si>
  <si>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</si>
  <si>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</si>
  <si>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</si>
  <si>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</si>
  <si>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</si>
  <si>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</si>
  <si>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</si>
  <si>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</si>
  <si>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</si>
  <si>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</si>
  <si>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</si>
  <si>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</si>
  <si>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</si>
  <si>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</si>
  <si>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</si>
  <si>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</si>
  <si>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</si>
  <si>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</si>
  <si>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</si>
  <si>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</si>
  <si>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</si>
  <si>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</si>
  <si>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</si>
  <si>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</si>
  <si>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</si>
  <si>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</si>
  <si>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</si>
  <si>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</si>
  <si>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</si>
  <si>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</si>
  <si>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</si>
  <si>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</si>
  <si>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</si>
  <si>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</si>
  <si>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</si>
  <si>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</si>
  <si>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</si>
  <si>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</si>
  <si>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</si>
  <si>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</si>
  <si>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</si>
  <si>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</si>
  <si>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</si>
  <si>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</si>
  <si>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</si>
  <si>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</si>
  <si>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</si>
  <si>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</si>
  <si>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</si>
  <si>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</si>
  <si>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</si>
  <si>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</si>
  <si>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</si>
  <si>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</si>
  <si>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</si>
  <si>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</si>
  <si>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</si>
  <si>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</si>
  <si>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</si>
  <si>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</si>
  <si>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</si>
  <si>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</si>
  <si>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</si>
  <si>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</si>
  <si>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</si>
  <si>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</si>
  <si>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</si>
  <si>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</si>
  <si>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</si>
  <si>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</si>
  <si>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</si>
  <si>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</si>
  <si>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</si>
  <si>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</si>
  <si>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</si>
  <si>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</si>
  <si>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</si>
  <si>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</si>
  <si>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</si>
  <si>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</si>
  <si>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</si>
  <si>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</si>
  <si>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</si>
  <si>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</si>
  <si>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</si>
  <si>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</si>
  <si>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</si>
  <si>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</si>
  <si>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</si>
  <si>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</si>
  <si>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</si>
  <si>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</si>
  <si>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</si>
  <si>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</si>
  <si>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</si>
  <si>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</si>
  <si>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</si>
  <si>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</si>
  <si>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</si>
  <si>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</si>
  <si>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</si>
  <si>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</si>
  <si>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</si>
  <si>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</si>
  <si>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</si>
  <si>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</si>
  <si>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</si>
  <si>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</si>
  <si>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</si>
  <si>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</si>
  <si>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</si>
  <si>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</si>
  <si>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</si>
  <si>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</si>
  <si>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</si>
  <si>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</si>
  <si>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</si>
  <si>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</si>
  <si>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</si>
  <si>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</si>
  <si>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</si>
  <si>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</si>
  <si>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</si>
  <si>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</si>
  <si>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</si>
  <si>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</si>
  <si>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</si>
  <si>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</si>
  <si>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</si>
  <si>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</si>
  <si>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</si>
  <si>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</si>
  <si>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</si>
  <si>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</si>
  <si>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</si>
  <si>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</si>
  <si>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</si>
  <si>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</si>
  <si>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</si>
  <si>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</si>
  <si>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</si>
  <si>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</si>
  <si>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</si>
  <si>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</si>
  <si>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</si>
  <si>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</si>
  <si>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</si>
  <si>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</si>
  <si>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</si>
  <si>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</si>
  <si>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</si>
  <si>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</si>
  <si>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</si>
  <si>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</si>
  <si>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</si>
  <si>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</si>
  <si>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</si>
  <si>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</si>
  <si>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</si>
  <si>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</si>
  <si>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</si>
  <si>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</si>
  <si>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</si>
  <si>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</si>
  <si>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</si>
  <si>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</si>
  <si>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</si>
  <si>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</si>
  <si>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</si>
  <si>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</si>
  <si>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</si>
  <si>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</si>
  <si>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</si>
  <si>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</si>
  <si>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</si>
  <si>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</si>
  <si>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</si>
  <si>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</si>
  <si>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</si>
  <si>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</si>
  <si>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</si>
  <si>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</si>
  <si>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</si>
  <si>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</si>
  <si>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</si>
  <si>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</si>
  <si>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</si>
  <si>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</si>
  <si>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</si>
  <si>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</si>
  <si>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</si>
  <si>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</si>
  <si>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</si>
  <si>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</si>
  <si>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</si>
  <si>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</si>
  <si>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</si>
  <si>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</si>
  <si>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</si>
  <si>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</si>
  <si>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</si>
  <si>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</si>
  <si>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</si>
  <si>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</si>
  <si>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</si>
  <si>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</si>
  <si>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</si>
  <si>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</si>
  <si>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</si>
  <si>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</si>
  <si>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</si>
  <si>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</si>
  <si>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</si>
  <si>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</si>
  <si>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</si>
  <si>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</si>
  <si>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</si>
  <si>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</si>
  <si>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</si>
  <si>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</si>
  <si>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</si>
  <si>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</si>
  <si>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</si>
  <si>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</si>
  <si>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</si>
  <si>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</si>
  <si>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</si>
  <si>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</si>
  <si>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</si>
  <si>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</si>
  <si>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</si>
  <si>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</si>
  <si>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</si>
  <si>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</si>
  <si>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</si>
  <si>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</si>
  <si>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</si>
  <si>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</si>
  <si>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</si>
  <si>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</si>
  <si>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</si>
  <si>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</si>
  <si>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</si>
  <si>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</si>
  <si>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</si>
  <si>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</si>
  <si>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</si>
  <si>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</si>
  <si>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</si>
  <si>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</si>
  <si>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</si>
  <si>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</si>
  <si>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</si>
  <si>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</si>
  <si>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</si>
  <si>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</si>
  <si>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</si>
  <si>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</si>
  <si>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</si>
  <si>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</si>
  <si>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</si>
  <si>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</si>
  <si>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</si>
  <si>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</si>
  <si>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</si>
  <si>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</si>
  <si>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</si>
  <si>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</si>
  <si>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</si>
  <si>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</si>
  <si>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</si>
  <si>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</si>
  <si>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</si>
  <si>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</si>
  <si>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</si>
  <si>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</si>
  <si>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</si>
  <si>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</si>
  <si>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</si>
  <si>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</si>
  <si>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</si>
  <si>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</si>
  <si>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</si>
  <si>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</si>
  <si>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</si>
  <si>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</si>
  <si>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</si>
  <si>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</si>
  <si>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</si>
  <si>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</si>
  <si>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</si>
  <si>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</si>
  <si>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</si>
  <si>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</si>
  <si>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</si>
  <si>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</si>
  <si>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</si>
  <si>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</si>
  <si>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</si>
  <si>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</si>
  <si>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</si>
  <si>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</si>
  <si>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</si>
  <si>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</si>
  <si>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</si>
  <si>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</si>
  <si>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</si>
  <si>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</si>
  <si>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</si>
  <si>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</si>
  <si>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</si>
  <si>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</si>
  <si>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</si>
  <si>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</si>
  <si>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</si>
  <si>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</si>
  <si>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</si>
  <si>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</si>
  <si>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</si>
  <si>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</si>
  <si>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</si>
  <si>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</si>
  <si>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</si>
  <si>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</si>
  <si>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</si>
  <si>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</si>
  <si>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</si>
  <si>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</si>
  <si>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</si>
  <si>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</si>
  <si>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</si>
  <si>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</si>
  <si>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</si>
  <si>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</si>
  <si>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</si>
  <si>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</si>
  <si>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</si>
  <si>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</si>
  <si>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</si>
  <si>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</si>
  <si>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</si>
  <si>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</si>
  <si>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</si>
  <si>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</si>
  <si>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</si>
  <si>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</si>
  <si>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</si>
  <si>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</si>
  <si>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</si>
  <si>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</si>
  <si>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</si>
  <si>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</si>
  <si>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</si>
  <si>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</si>
  <si>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</si>
  <si>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</si>
  <si>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</si>
  <si>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</si>
  <si>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</si>
  <si>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</si>
  <si>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</si>
  <si>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</si>
  <si>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</si>
  <si>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</si>
  <si>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</si>
  <si>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</si>
  <si>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</si>
  <si>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</si>
  <si>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</si>
  <si>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</si>
  <si>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</si>
  <si>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</si>
  <si>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</si>
  <si>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</si>
  <si>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</si>
  <si>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</si>
  <si>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</si>
  <si>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</si>
  <si>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</si>
  <si>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</si>
  <si>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</si>
  <si>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</si>
  <si>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</si>
  <si>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</si>
  <si>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</si>
  <si>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</si>
  <si>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</si>
  <si>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</si>
  <si>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</si>
  <si>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</si>
  <si>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</si>
  <si>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</si>
  <si>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</si>
  <si>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</si>
  <si>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</si>
  <si>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</si>
  <si>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</si>
  <si>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</si>
  <si>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</si>
  <si>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</si>
  <si>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</si>
  <si>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</si>
  <si>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</si>
  <si>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</si>
  <si>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</si>
  <si>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</si>
  <si>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</si>
  <si>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</si>
  <si>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</si>
  <si>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</si>
  <si>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</si>
  <si>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</si>
  <si>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</si>
  <si>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</si>
  <si>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</si>
  <si>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</si>
  <si>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</si>
  <si>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</si>
  <si>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</si>
  <si>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</si>
  <si>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</si>
  <si>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</si>
  <si>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</si>
  <si>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</si>
  <si>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</si>
  <si>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</si>
  <si>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</si>
  <si>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</si>
  <si>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</si>
  <si>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</si>
  <si>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</si>
  <si>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</si>
  <si>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</si>
  <si>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</si>
  <si>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</si>
  <si>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</si>
  <si>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</si>
  <si>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</si>
  <si>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</si>
  <si>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</si>
  <si>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</si>
  <si>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</si>
  <si>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</si>
  <si>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</si>
  <si>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</si>
  <si>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</si>
  <si>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</si>
  <si>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</si>
  <si>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</si>
  <si>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</si>
  <si>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</si>
  <si>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</si>
  <si>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</si>
  <si>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</si>
  <si>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</si>
  <si>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</si>
  <si>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</si>
  <si>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</si>
  <si>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</si>
  <si>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</si>
  <si>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</si>
  <si>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</si>
  <si>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</si>
  <si>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</si>
  <si>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</si>
  <si>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</si>
  <si>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</si>
  <si>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</si>
  <si>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</si>
  <si>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</si>
  <si>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</si>
  <si>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</si>
  <si>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</si>
  <si>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</si>
  <si>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</si>
  <si>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</si>
  <si>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</si>
  <si>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</si>
  <si>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</si>
  <si>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</si>
  <si>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</si>
  <si>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</si>
  <si>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</si>
  <si>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</si>
  <si>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</si>
  <si>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</si>
  <si>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</si>
  <si>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</si>
  <si>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</si>
  <si>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</si>
  <si>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</si>
  <si>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</si>
  <si>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</si>
  <si>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</si>
  <si>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</si>
  <si>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</si>
  <si>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</si>
  <si>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</si>
  <si>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</si>
  <si>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</si>
  <si>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</si>
  <si>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</si>
  <si>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</si>
  <si>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</si>
  <si>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</si>
  <si>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</si>
  <si>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</si>
  <si>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</si>
  <si>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</si>
  <si>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</si>
  <si>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</si>
  <si>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</si>
  <si>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</si>
  <si>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</si>
  <si>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</si>
  <si>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</si>
  <si>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</si>
  <si>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</si>
  <si>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</si>
  <si>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</si>
  <si>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</si>
  <si>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</si>
  <si>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</si>
  <si>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</si>
  <si>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</si>
  <si>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</si>
  <si>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</si>
  <si>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</si>
  <si>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</si>
  <si>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</si>
  <si>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</si>
  <si>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</si>
  <si>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</si>
  <si>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</si>
  <si>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</si>
  <si>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</si>
  <si>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</si>
  <si>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</si>
  <si>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</si>
  <si>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</si>
  <si>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</si>
  <si>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</si>
  <si>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</si>
  <si>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</si>
  <si>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</si>
  <si>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</si>
  <si>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</si>
  <si>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</si>
  <si>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</si>
  <si>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</si>
  <si>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</si>
  <si>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</si>
  <si>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</si>
  <si>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</si>
  <si>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</si>
  <si>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</si>
  <si>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</si>
  <si>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</si>
  <si>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</si>
  <si>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</si>
  <si>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</si>
  <si>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</si>
  <si>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</si>
  <si>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</si>
  <si>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</si>
  <si>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</si>
  <si>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</si>
  <si>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</si>
  <si>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</si>
  <si>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</si>
  <si>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</si>
  <si>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</si>
  <si>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</si>
  <si>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</si>
  <si>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</si>
  <si>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</si>
  <si>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</si>
  <si>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</si>
  <si>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</si>
  <si>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</si>
  <si>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</si>
  <si>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</si>
  <si>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</si>
  <si>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</si>
  <si>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</si>
  <si>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</si>
  <si>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</si>
  <si>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</si>
  <si>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</si>
  <si>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</si>
  <si>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</si>
  <si>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</si>
  <si>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</si>
  <si>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</si>
  <si>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</si>
  <si>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</si>
  <si>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</si>
  <si>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</si>
  <si>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</si>
  <si>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</si>
  <si>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</si>
  <si>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</si>
  <si>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</si>
  <si>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</si>
  <si>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</si>
  <si>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</si>
  <si>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</si>
  <si>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</si>
  <si>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</si>
  <si>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</si>
  <si>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</si>
  <si>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</si>
  <si>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</si>
  <si>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</si>
  <si>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</si>
  <si>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</si>
  <si>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</si>
  <si>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</si>
  <si>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</si>
  <si>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</si>
  <si>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</si>
  <si>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</si>
  <si>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</si>
  <si>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</si>
  <si>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</si>
  <si>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</si>
  <si>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</si>
  <si>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</si>
  <si>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</si>
  <si>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</si>
  <si>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</si>
  <si>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</si>
  <si>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</si>
  <si>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</si>
  <si>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</si>
  <si>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</si>
  <si>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</si>
  <si>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</si>
  <si>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</si>
  <si>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</si>
  <si>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</si>
  <si>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</si>
  <si>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</si>
  <si>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</si>
  <si>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</si>
  <si>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</si>
  <si>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</si>
  <si>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</si>
  <si>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</si>
  <si>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</si>
  <si>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</si>
  <si>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</si>
  <si>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</si>
  <si>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</si>
  <si>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</si>
  <si>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</si>
  <si>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</si>
  <si>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</si>
  <si>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</si>
  <si>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</si>
  <si>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</si>
  <si>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</si>
  <si>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</si>
  <si>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</si>
  <si>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</si>
  <si>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</si>
  <si>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</si>
  <si>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</si>
  <si>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</si>
  <si>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</si>
  <si>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</si>
  <si>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</si>
  <si>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</si>
  <si>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</si>
  <si>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</si>
  <si>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</si>
  <si>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</si>
  <si>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</si>
  <si>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</si>
  <si>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</si>
  <si>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</si>
  <si>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</si>
  <si>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</si>
  <si>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</si>
  <si>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</si>
  <si>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</si>
  <si>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</si>
  <si>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</si>
  <si>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</si>
  <si>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</si>
  <si>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</si>
  <si>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</si>
  <si>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</si>
  <si>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</si>
  <si>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</si>
  <si>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</si>
  <si>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</si>
  <si>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</si>
  <si>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</si>
  <si>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</si>
  <si>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</si>
  <si>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</si>
  <si>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</si>
  <si>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</si>
  <si>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</si>
  <si>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</si>
  <si>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</si>
  <si>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</si>
  <si>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</si>
  <si>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</si>
  <si>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</si>
  <si>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</si>
  <si>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</si>
  <si>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</si>
  <si>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</si>
  <si>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</si>
  <si>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</si>
  <si>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</si>
  <si>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</si>
  <si>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</si>
  <si>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</si>
  <si>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</si>
  <si>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</si>
  <si>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</si>
  <si>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</si>
  <si>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</si>
  <si>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</si>
  <si>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</si>
  <si>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</si>
  <si>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</si>
  <si>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</si>
  <si>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</si>
  <si>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</si>
  <si>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</si>
  <si>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</si>
  <si>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</si>
  <si>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</si>
  <si>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</si>
  <si>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</si>
  <si>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</si>
  <si>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</si>
  <si>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</si>
  <si>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</si>
  <si>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</si>
  <si>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</si>
  <si>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</si>
  <si>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</si>
  <si>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</si>
  <si>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</si>
  <si>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</si>
  <si>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</si>
  <si>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</si>
  <si>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</si>
  <si>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</si>
  <si>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</si>
  <si>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</si>
  <si>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</si>
  <si>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</si>
  <si>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</si>
  <si>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</si>
  <si>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</si>
  <si>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</si>
  <si>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</si>
  <si>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</si>
  <si>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</si>
  <si>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</si>
  <si>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</si>
  <si>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</si>
  <si>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</si>
  <si>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</si>
  <si>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</si>
  <si>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</si>
  <si>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</si>
  <si>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</si>
  <si>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</si>
  <si>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</si>
  <si>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</si>
  <si>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</si>
  <si>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</si>
  <si>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</si>
  <si>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</si>
  <si>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</si>
  <si>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</si>
  <si>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</si>
  <si>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</si>
  <si>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</si>
  <si>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</si>
  <si>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</si>
  <si>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</si>
  <si>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</si>
  <si>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</si>
  <si>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</si>
  <si>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</si>
  <si>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</si>
  <si>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</si>
  <si>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</si>
  <si>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</si>
  <si>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</si>
  <si>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</si>
  <si>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</si>
  <si>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</si>
  <si>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</si>
  <si>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</si>
  <si>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</si>
  <si>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</si>
  <si>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</si>
  <si>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</si>
  <si>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</si>
  <si>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</si>
  <si>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</si>
  <si>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</si>
  <si>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</si>
  <si>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</si>
  <si>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</si>
  <si>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</si>
  <si>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</si>
  <si>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</si>
  <si>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</si>
  <si>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</si>
  <si>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</si>
  <si>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</si>
  <si>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</si>
  <si>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</si>
  <si>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</si>
  <si>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</si>
  <si>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</si>
  <si>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</si>
  <si>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</si>
  <si>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</si>
  <si>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</si>
  <si>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</si>
  <si>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</si>
  <si>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</si>
  <si>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</si>
  <si>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</si>
  <si>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</si>
  <si>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</si>
  <si>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</si>
  <si>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</si>
  <si>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</si>
  <si>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</si>
  <si>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</si>
  <si>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</si>
  <si>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</si>
  <si>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</si>
  <si>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</si>
  <si>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</si>
  <si>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</si>
  <si>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</si>
  <si>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</si>
  <si>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</si>
  <si>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</si>
  <si>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</si>
  <si>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</si>
  <si>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</si>
  <si>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</si>
  <si>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</si>
  <si>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</si>
  <si>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</si>
  <si>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</si>
  <si>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</si>
  <si>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</si>
  <si>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</si>
  <si>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</si>
  <si>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</si>
  <si>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</si>
  <si>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</si>
  <si>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</si>
  <si>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</si>
  <si>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</si>
  <si>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</si>
  <si>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</si>
  <si>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</si>
  <si>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</si>
  <si>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</si>
  <si>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</si>
  <si>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</si>
  <si>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</si>
  <si>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</si>
  <si>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</si>
  <si>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</si>
  <si>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</si>
  <si>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</si>
  <si>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</si>
  <si>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</si>
  <si>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</si>
  <si>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</si>
  <si>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</si>
  <si>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</si>
  <si>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</si>
  <si>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</si>
  <si>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</si>
  <si>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</si>
  <si>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</si>
  <si>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</si>
  <si>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</si>
  <si>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</si>
  <si>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</si>
  <si>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</si>
  <si>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</si>
  <si>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</si>
  <si>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</si>
  <si>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</si>
  <si>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</si>
  <si>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</si>
  <si>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</si>
  <si>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</si>
  <si>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</si>
  <si>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</si>
  <si>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</si>
  <si>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</si>
  <si>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</si>
  <si>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</si>
  <si>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</si>
  <si>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</si>
  <si>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</si>
  <si>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</si>
  <si>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</si>
  <si>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</si>
  <si>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</si>
  <si>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</si>
  <si>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</si>
  <si>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</si>
  <si>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</si>
  <si>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</si>
  <si>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</si>
  <si>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</si>
  <si>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</si>
  <si>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</si>
  <si>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</si>
  <si>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</si>
  <si>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</si>
  <si>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</si>
  <si>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</si>
  <si>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</si>
  <si>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</si>
  <si>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</si>
  <si>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</si>
  <si>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</si>
  <si>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</si>
  <si>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</si>
  <si>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</si>
  <si>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</si>
  <si>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</si>
  <si>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</si>
  <si>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</si>
  <si>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</si>
  <si>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</si>
  <si>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</si>
  <si>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</si>
  <si>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</si>
  <si>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</si>
  <si>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</si>
  <si>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</si>
  <si>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</si>
  <si>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</si>
  <si>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</si>
  <si>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</si>
  <si>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</si>
  <si>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</si>
  <si>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</si>
  <si>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</si>
  <si>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</si>
  <si>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</si>
  <si>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</si>
  <si>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</si>
  <si>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</si>
  <si>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</si>
  <si>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</si>
  <si>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</si>
  <si>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</si>
  <si>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</si>
  <si>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</si>
  <si>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</si>
  <si>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</si>
  <si>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</si>
  <si>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</si>
  <si>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</si>
  <si>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</si>
  <si>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</si>
  <si>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</si>
  <si>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</si>
  <si>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</si>
  <si>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</si>
  <si>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</si>
  <si>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</si>
  <si>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</si>
  <si>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</si>
  <si>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</si>
  <si>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</si>
  <si>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</si>
  <si>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</si>
  <si>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</si>
  <si>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</si>
  <si>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</si>
  <si>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</si>
  <si>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</si>
  <si>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</si>
  <si>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</si>
  <si>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</si>
  <si>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</si>
  <si>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</si>
  <si>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</si>
  <si>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</si>
  <si>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</si>
  <si>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</si>
  <si>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</si>
  <si>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</si>
  <si>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</si>
  <si>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</si>
  <si>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</si>
  <si>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</si>
  <si>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</si>
  <si>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</si>
  <si>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</si>
  <si>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</si>
  <si>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</si>
  <si>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</si>
  <si>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</si>
  <si>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</si>
  <si>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</si>
  <si>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</si>
  <si>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</si>
  <si>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</si>
  <si>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</si>
  <si>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</si>
  <si>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</si>
  <si>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</si>
  <si>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</si>
  <si>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</si>
  <si>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</si>
  <si>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</si>
  <si>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</si>
  <si>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</si>
  <si>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</si>
  <si>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</si>
  <si>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</si>
  <si>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</si>
  <si>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</si>
  <si>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</si>
  <si>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</si>
  <si>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</si>
  <si>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</si>
  <si>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</si>
  <si>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</si>
  <si>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</si>
  <si>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</si>
  <si>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</si>
  <si>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</si>
  <si>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</si>
  <si>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</si>
  <si>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</si>
  <si>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</si>
  <si>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</si>
  <si>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</si>
  <si>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</si>
  <si>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</si>
  <si>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</si>
  <si>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</si>
  <si>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</si>
  <si>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</si>
  <si>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</si>
  <si>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</si>
  <si>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</si>
  <si>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</si>
  <si>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</si>
  <si>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</si>
  <si>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</si>
  <si>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</si>
  <si>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</si>
  <si>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</si>
  <si>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</si>
  <si>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</si>
  <si>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</si>
  <si>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</si>
  <si>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</si>
  <si>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</si>
  <si>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</si>
  <si>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</si>
  <si>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</si>
  <si>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</si>
  <si>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</si>
  <si>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</si>
  <si>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</si>
  <si>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</si>
  <si>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</si>
  <si>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</si>
  <si>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</si>
  <si>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</si>
  <si>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</si>
  <si>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</si>
  <si>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</si>
  <si>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</si>
  <si>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</si>
  <si>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</si>
  <si>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</si>
  <si>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</si>
  <si>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</si>
  <si>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</si>
  <si>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</si>
  <si>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</si>
  <si>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</si>
  <si>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</si>
  <si>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</si>
  <si>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</si>
  <si>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</si>
  <si>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</si>
  <si>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</si>
  <si>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</si>
  <si>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</si>
  <si>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</si>
  <si>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</si>
  <si>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</si>
  <si>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</si>
  <si>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</si>
  <si>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</si>
  <si>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</si>
  <si>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</si>
  <si>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</si>
  <si>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</si>
  <si>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</si>
  <si>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</si>
  <si>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</si>
  <si>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</si>
  <si>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</si>
  <si>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</si>
  <si>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</si>
  <si>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</si>
  <si>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</si>
  <si>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</si>
  <si>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</si>
  <si>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</si>
  <si>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</si>
  <si>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</si>
  <si>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</si>
  <si>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</si>
  <si>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</si>
  <si>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</si>
  <si>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</si>
  <si>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</si>
  <si>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</si>
  <si>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</si>
  <si>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</si>
  <si>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</si>
  <si>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</si>
  <si>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</si>
  <si>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</si>
  <si>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</si>
  <si>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</si>
  <si>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</si>
  <si>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</si>
  <si>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</si>
  <si>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</si>
  <si>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</si>
  <si>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</si>
  <si>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</si>
  <si>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</si>
  <si>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</si>
  <si>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</si>
  <si>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</si>
  <si>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</si>
  <si>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</si>
  <si>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</si>
  <si>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</si>
  <si>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</si>
  <si>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</si>
  <si>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</si>
  <si>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</si>
  <si>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</si>
  <si>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</si>
  <si>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</si>
  <si>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</si>
  <si>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</si>
  <si>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</si>
  <si>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</si>
  <si>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</si>
  <si>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</si>
  <si>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</si>
  <si>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</si>
  <si>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</si>
  <si>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</si>
  <si>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</si>
  <si>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</si>
  <si>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</si>
  <si>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</si>
  <si>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</si>
  <si>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</si>
  <si>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</si>
  <si>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</si>
  <si>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</si>
  <si>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</si>
  <si>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</si>
  <si>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</si>
  <si>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</si>
  <si>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</si>
  <si>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</si>
  <si>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</si>
  <si>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</si>
  <si>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</si>
  <si>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</si>
  <si>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</si>
  <si>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</si>
  <si>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</si>
  <si>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</si>
  <si>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</si>
  <si>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</si>
  <si>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</si>
  <si>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</si>
  <si>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</si>
  <si>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</si>
  <si>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</si>
  <si>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</si>
  <si>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</si>
  <si>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</si>
  <si>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</si>
  <si>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</si>
  <si>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</si>
  <si>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</si>
  <si>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</si>
  <si>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</si>
  <si>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</si>
  <si>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</si>
  <si>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</si>
  <si>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</si>
  <si>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</si>
  <si>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</si>
  <si>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</si>
  <si>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</si>
  <si>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</si>
  <si>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</si>
  <si>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</si>
  <si>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</si>
  <si>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</si>
  <si>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</si>
  <si>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</si>
  <si>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</si>
  <si>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</si>
  <si>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</si>
  <si>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</si>
  <si>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</si>
  <si>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</si>
  <si>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</si>
  <si>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</si>
  <si>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</si>
  <si>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</si>
  <si>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</si>
  <si>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</si>
  <si>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</si>
  <si>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</si>
  <si>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</si>
  <si>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</si>
  <si>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</si>
  <si>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</si>
  <si>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</si>
  <si>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</si>
  <si>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</si>
  <si>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</si>
  <si>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</si>
  <si>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</si>
  <si>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</si>
  <si>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</si>
  <si>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</si>
  <si>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</si>
  <si>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</si>
  <si>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</si>
  <si>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</si>
  <si>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</si>
  <si>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</si>
  <si>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</si>
  <si>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</si>
  <si>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</si>
  <si>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</si>
  <si>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</si>
  <si>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</si>
  <si>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</si>
  <si>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</si>
  <si>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</si>
  <si>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</si>
  <si>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</si>
  <si>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</si>
  <si>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</si>
  <si>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</si>
  <si>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</si>
  <si>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</si>
  <si>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</si>
  <si>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</si>
  <si>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</si>
  <si>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</si>
  <si>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</si>
  <si>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</si>
  <si>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</si>
  <si>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</si>
  <si>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</si>
  <si>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</si>
  <si>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</si>
  <si>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</si>
  <si>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</si>
  <si>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</si>
  <si>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</si>
  <si>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</si>
  <si>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</si>
  <si>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</si>
  <si>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</si>
  <si>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</si>
  <si>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</si>
  <si>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</si>
  <si>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</si>
  <si>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</si>
  <si>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</si>
  <si>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</si>
  <si>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</si>
  <si>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</si>
  <si>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</si>
  <si>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</si>
  <si>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</si>
  <si>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</si>
  <si>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</si>
  <si>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</si>
  <si>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</si>
  <si>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</si>
  <si>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</si>
  <si>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</si>
  <si>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</si>
  <si>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</si>
  <si>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</si>
  <si>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</si>
  <si>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</si>
  <si>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</si>
  <si>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</si>
  <si>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</si>
  <si>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</si>
  <si>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</si>
  <si>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</si>
  <si>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</si>
  <si>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</si>
  <si>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</si>
  <si>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</si>
  <si>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</si>
  <si>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</si>
  <si>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</si>
  <si>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</si>
  <si>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</si>
  <si>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</si>
  <si>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</si>
  <si>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</si>
  <si>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</si>
  <si>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</si>
  <si>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</si>
  <si>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</si>
  <si>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</si>
  <si>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</si>
  <si>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</si>
  <si>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</si>
  <si>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</si>
  <si>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</si>
  <si>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</si>
  <si>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</si>
  <si>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</si>
  <si>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</si>
  <si>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</si>
  <si>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</si>
  <si>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</si>
  <si>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</si>
  <si>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</si>
  <si>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</si>
  <si>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</si>
  <si>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</si>
  <si>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</si>
  <si>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</si>
  <si>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</si>
  <si>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</si>
  <si>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</si>
  <si>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</si>
  <si>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</si>
  <si>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</si>
  <si>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</si>
  <si>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</si>
  <si>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</si>
  <si>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</si>
  <si>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</si>
  <si>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</si>
  <si>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</si>
  <si>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</si>
  <si>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</si>
  <si>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</si>
  <si>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</si>
  <si>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</si>
  <si>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</si>
  <si>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</si>
  <si>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</si>
  <si>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</si>
  <si>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</si>
  <si>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</si>
  <si>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</si>
  <si>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</si>
  <si>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</si>
  <si>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</si>
  <si>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</si>
  <si>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</si>
  <si>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</si>
  <si>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</si>
  <si>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</si>
  <si>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</si>
  <si>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</si>
  <si>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</si>
  <si>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</si>
  <si>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</si>
  <si>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</si>
  <si>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</si>
  <si>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</si>
  <si>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</si>
  <si>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</si>
  <si>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</si>
  <si>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</si>
  <si>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</si>
  <si>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</si>
  <si>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</si>
  <si>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</si>
  <si>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</si>
  <si>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</si>
  <si>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</si>
  <si>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</si>
  <si>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</si>
  <si>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</si>
  <si>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</si>
  <si>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</si>
  <si>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</si>
  <si>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</si>
  <si>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</si>
  <si>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</si>
  <si>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</si>
  <si>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</si>
  <si>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</si>
  <si>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</si>
  <si>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</si>
  <si>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</si>
  <si>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</si>
  <si>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</si>
  <si>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</si>
  <si>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</si>
  <si>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</si>
  <si>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</si>
  <si>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</si>
  <si>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</si>
  <si>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</si>
  <si>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</si>
  <si>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</si>
  <si>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</si>
  <si>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</si>
  <si>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</si>
  <si>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</si>
  <si>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</si>
  <si>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</si>
  <si>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</si>
  <si>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</si>
  <si>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</si>
  <si>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</si>
  <si>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</si>
  <si>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</si>
  <si>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</si>
  <si>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</si>
  <si>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</si>
  <si>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</si>
  <si>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</si>
  <si>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</si>
  <si>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</si>
  <si>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</si>
  <si>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</si>
  <si>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</si>
  <si>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</si>
  <si>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</si>
  <si>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</si>
  <si>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</si>
  <si>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</si>
  <si>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</si>
  <si>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</si>
  <si>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</si>
  <si>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</si>
  <si>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</si>
  <si>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</si>
  <si>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</si>
  <si>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</si>
  <si>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</si>
  <si>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</si>
  <si>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</si>
  <si>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</si>
  <si>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</si>
  <si>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</si>
  <si>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</si>
  <si>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</si>
  <si>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</si>
  <si>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</si>
  <si>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</si>
  <si>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</si>
  <si>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</si>
  <si>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</si>
  <si>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</si>
  <si>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</si>
  <si>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</si>
  <si>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</si>
  <si>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</si>
  <si>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</si>
  <si>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</si>
  <si>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</si>
  <si>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</si>
  <si>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</si>
  <si>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</si>
  <si>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</si>
  <si>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</si>
  <si>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</si>
  <si>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</si>
  <si>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</si>
  <si>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</si>
  <si>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</si>
  <si>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</si>
  <si>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</si>
  <si>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</si>
  <si>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</si>
  <si>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</si>
  <si>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</si>
  <si>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</si>
  <si>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</si>
  <si>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</si>
  <si>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</si>
  <si>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</si>
  <si>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</si>
  <si>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</si>
  <si>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</si>
  <si>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</si>
  <si>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</si>
  <si>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</si>
  <si>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</si>
  <si>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</si>
  <si>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</si>
  <si>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</si>
  <si>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</si>
  <si>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</si>
  <si>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</si>
  <si>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</si>
  <si>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</si>
  <si>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</si>
  <si>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</si>
  <si>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</si>
  <si>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</si>
  <si>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</si>
  <si>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</si>
  <si>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</si>
  <si>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</si>
  <si>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</si>
  <si>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</si>
  <si>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</si>
  <si>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</si>
  <si>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</si>
  <si>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</si>
  <si>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</si>
  <si>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</si>
  <si>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</si>
  <si>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</si>
  <si>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</si>
  <si>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</si>
  <si>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</si>
  <si>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</si>
  <si>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</si>
  <si>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</si>
  <si>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</si>
  <si>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</si>
  <si>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</si>
  <si>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</si>
  <si>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</si>
  <si>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</si>
  <si>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</si>
  <si>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</si>
  <si>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</si>
  <si>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</si>
  <si>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</si>
  <si>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</si>
  <si>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</si>
  <si>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</si>
  <si>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</si>
  <si>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</si>
  <si>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</si>
  <si>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</si>
  <si>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</si>
  <si>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</si>
  <si>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</si>
  <si>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</si>
  <si>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</si>
  <si>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</si>
  <si>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</si>
  <si>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</si>
  <si>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</si>
  <si>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</si>
  <si>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</si>
  <si>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</si>
  <si>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</si>
  <si>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</si>
  <si>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</si>
  <si>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</si>
  <si>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</si>
  <si>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</si>
  <si>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</si>
  <si>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</si>
  <si>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</si>
  <si>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</si>
  <si>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</si>
  <si>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</si>
  <si>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</si>
  <si>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</si>
  <si>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</si>
  <si>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</si>
  <si>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</si>
  <si>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</si>
  <si>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</si>
  <si>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</si>
  <si>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</si>
  <si>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</si>
  <si>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</si>
  <si>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</si>
  <si>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</si>
  <si>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</si>
  <si>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</si>
  <si>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</si>
  <si>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</si>
  <si>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</si>
  <si>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</si>
  <si>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</si>
  <si>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</si>
  <si>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</si>
  <si>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</si>
  <si>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</si>
  <si>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</si>
  <si>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</si>
  <si>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</si>
  <si>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</si>
  <si>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</si>
  <si>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</si>
  <si>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</si>
  <si>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</si>
  <si>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</si>
  <si>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</si>
  <si>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</si>
  <si>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</si>
  <si>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</si>
  <si>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</si>
  <si>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</si>
  <si>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</si>
  <si>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</si>
  <si>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</si>
  <si>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</si>
  <si>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</si>
  <si>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</si>
  <si>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</si>
  <si>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</si>
  <si>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</si>
  <si>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</si>
  <si>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</si>
  <si>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</si>
  <si>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</si>
  <si>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</si>
  <si>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</si>
  <si>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</si>
  <si>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</si>
  <si>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</si>
  <si>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</si>
  <si>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</si>
  <si>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</si>
  <si>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</si>
  <si>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</si>
  <si>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</si>
  <si>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</si>
  <si>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</si>
  <si>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</si>
  <si>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</si>
  <si>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</si>
  <si>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</si>
  <si>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</si>
  <si>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</si>
  <si>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</si>
  <si>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</si>
  <si>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</si>
  <si>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</si>
  <si>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</si>
  <si>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</si>
  <si>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</si>
  <si>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</si>
  <si>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</si>
  <si>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</si>
  <si>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</si>
  <si>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</si>
  <si>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</si>
  <si>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</si>
  <si>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</si>
  <si>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</si>
  <si>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</si>
  <si>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</si>
  <si>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</si>
  <si>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</si>
  <si>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</si>
  <si>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</si>
  <si>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</si>
  <si>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</si>
  <si>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</si>
  <si>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</si>
  <si>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</si>
  <si>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</si>
  <si>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</si>
  <si>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</si>
  <si>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</si>
  <si>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</si>
  <si>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</si>
  <si>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</si>
  <si>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</si>
  <si>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</si>
  <si>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</si>
  <si>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</si>
  <si>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</si>
  <si>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</si>
  <si>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</si>
  <si>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</si>
  <si>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</si>
  <si>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</si>
  <si>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</si>
  <si>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</si>
  <si>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</si>
  <si>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</si>
  <si>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</si>
  <si>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</si>
  <si>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</si>
  <si>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</si>
  <si>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</si>
  <si>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</si>
  <si>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</si>
  <si>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</si>
  <si>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</si>
  <si>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</si>
  <si>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</si>
  <si>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</si>
  <si>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</si>
  <si>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</si>
  <si>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</si>
  <si>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</si>
  <si>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</si>
  <si>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</si>
  <si>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</si>
  <si>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</si>
  <si>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</si>
  <si>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</si>
  <si>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</si>
  <si>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</si>
  <si>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</si>
  <si>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</si>
  <si>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</si>
  <si>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</si>
  <si>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</si>
  <si>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</si>
  <si>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</si>
  <si>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</si>
  <si>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</si>
  <si>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</si>
  <si>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</si>
  <si>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</si>
  <si>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</si>
  <si>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</si>
  <si>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</si>
  <si>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</si>
  <si>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</si>
  <si>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</si>
  <si>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</si>
  <si>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</si>
  <si>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</si>
  <si>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</si>
  <si>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</si>
  <si>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</si>
  <si>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</si>
  <si>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</si>
  <si>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</si>
  <si>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</si>
  <si>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</si>
  <si>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</si>
  <si>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</si>
  <si>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</si>
  <si>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</si>
  <si>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</si>
  <si>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</si>
  <si>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</si>
  <si>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</si>
  <si>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</si>
  <si>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</si>
  <si>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</si>
  <si>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</si>
  <si>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</si>
  <si>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</si>
  <si>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</si>
  <si>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</si>
  <si>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</si>
  <si>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</si>
  <si>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</si>
  <si>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</si>
  <si>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</si>
  <si>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</si>
  <si>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</si>
  <si>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</si>
  <si>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</si>
  <si>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</si>
  <si>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</si>
  <si>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</si>
  <si>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</si>
  <si>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</si>
  <si>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</si>
  <si>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</si>
  <si>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</si>
  <si>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</si>
  <si>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</si>
  <si>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</si>
  <si>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</si>
  <si>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</si>
  <si>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</si>
  <si>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</si>
  <si>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</si>
  <si>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</si>
  <si>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</si>
  <si>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</si>
  <si>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</si>
  <si>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</si>
  <si>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</si>
  <si>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</si>
  <si>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</si>
  <si>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</si>
  <si>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</si>
  <si>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</si>
  <si>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</si>
  <si>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</si>
  <si>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</si>
  <si>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</si>
  <si>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</si>
  <si>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</si>
  <si>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</si>
  <si>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</si>
  <si>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</si>
  <si>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</si>
  <si>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</si>
  <si>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</si>
  <si>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</si>
  <si>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</si>
  <si>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</si>
  <si>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</si>
  <si>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</si>
  <si>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</si>
  <si>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</si>
  <si>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</si>
  <si>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</si>
  <si>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</si>
  <si>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</si>
  <si>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</si>
  <si>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</si>
  <si>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</si>
  <si>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</si>
  <si>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</si>
  <si>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</si>
  <si>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</si>
  <si>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</si>
  <si>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</si>
  <si>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</si>
  <si>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</si>
  <si>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</si>
  <si>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</si>
  <si>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</si>
  <si>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</si>
  <si>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</si>
  <si>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</si>
  <si>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</si>
  <si>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</si>
  <si>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</si>
  <si>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</si>
  <si>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</si>
  <si>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</si>
  <si>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</si>
  <si>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</si>
  <si>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</si>
  <si>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</si>
  <si>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</si>
  <si>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</si>
  <si>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</si>
  <si>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</si>
  <si>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</si>
  <si>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</si>
  <si>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</si>
  <si>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</si>
  <si>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</si>
  <si>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</si>
  <si>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</si>
  <si>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</si>
  <si>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</si>
  <si>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</si>
  <si>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</si>
  <si>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</si>
  <si>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</si>
  <si>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</si>
  <si>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</si>
  <si>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</si>
  <si>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</si>
  <si>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</si>
  <si>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</si>
  <si>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</si>
  <si>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</si>
  <si>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</si>
  <si>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</si>
  <si>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</si>
  <si>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</si>
  <si>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</si>
  <si>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</si>
  <si>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</si>
  <si>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</si>
  <si>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</si>
  <si>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</si>
  <si>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</si>
  <si>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</si>
  <si>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</si>
  <si>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</si>
  <si>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</si>
  <si>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</si>
  <si>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</si>
  <si>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</si>
  <si>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</si>
  <si>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</si>
  <si>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</si>
  <si>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</si>
  <si>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</si>
  <si>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</si>
  <si>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</si>
  <si>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</si>
  <si>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</si>
  <si>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</si>
  <si>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</si>
  <si>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</si>
  <si>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</si>
  <si>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</si>
  <si>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</si>
  <si>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</si>
  <si>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</si>
  <si>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</si>
  <si>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</si>
  <si>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</si>
  <si>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</si>
  <si>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</si>
  <si>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</si>
  <si>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</si>
  <si>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</si>
  <si>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</si>
  <si>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</si>
  <si>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</si>
  <si>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</si>
  <si>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</si>
  <si>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</si>
  <si>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</si>
  <si>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</si>
  <si>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</si>
  <si>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</si>
  <si>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</si>
  <si>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</si>
  <si>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</si>
  <si>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</si>
  <si>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</si>
  <si>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</si>
  <si>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</si>
  <si>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</si>
  <si>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</si>
  <si>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</si>
  <si>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</si>
  <si>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</si>
  <si>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</si>
  <si>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</si>
  <si>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</si>
  <si>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</si>
  <si>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</si>
  <si>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</si>
  <si>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</si>
  <si>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</si>
  <si>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</si>
  <si>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</si>
  <si>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</si>
  <si>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</si>
  <si>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</si>
  <si>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</si>
  <si>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</si>
  <si>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</si>
  <si>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</si>
  <si>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</si>
  <si>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</si>
  <si>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</si>
  <si>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</si>
  <si>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</si>
  <si>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</si>
  <si>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</si>
  <si>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</si>
  <si>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</si>
  <si>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</si>
  <si>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</si>
  <si>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</si>
  <si>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</si>
  <si>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</si>
  <si>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</si>
  <si>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</si>
  <si>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</si>
  <si>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</si>
  <si>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</si>
  <si>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</si>
  <si>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</si>
  <si>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</si>
  <si>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</si>
  <si>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</si>
  <si>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</si>
  <si>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</si>
  <si>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</si>
  <si>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</si>
  <si>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</si>
  <si>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</si>
  <si>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</si>
  <si>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</si>
  <si>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</si>
  <si>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</si>
  <si>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</si>
  <si>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</si>
  <si>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</si>
  <si>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</si>
  <si>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</si>
  <si>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</si>
  <si>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</si>
  <si>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</si>
  <si>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</si>
  <si>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</si>
  <si>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</si>
  <si>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</si>
  <si>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</si>
  <si>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</si>
  <si>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</si>
  <si>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</si>
  <si>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</si>
  <si>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</si>
  <si>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</si>
  <si>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</si>
  <si>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</si>
  <si>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</si>
  <si>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</si>
  <si>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</si>
  <si>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</si>
  <si>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</si>
  <si>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</si>
  <si>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</si>
  <si>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</si>
  <si>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</si>
  <si>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</si>
  <si>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</si>
  <si>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</si>
  <si>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</si>
  <si>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</si>
  <si>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</si>
  <si>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</si>
  <si>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</si>
  <si>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</si>
  <si>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</si>
  <si>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</si>
  <si>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</si>
  <si>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</si>
  <si>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</si>
  <si>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</si>
  <si>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</si>
  <si>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</si>
  <si>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</si>
  <si>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</si>
  <si>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</si>
  <si>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</si>
  <si>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</si>
  <si>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</si>
  <si>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</si>
  <si>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</si>
  <si>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</si>
  <si>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</si>
  <si>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</si>
  <si>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</si>
  <si>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</si>
  <si>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</si>
  <si>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</si>
  <si>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</si>
  <si>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</si>
  <si>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</si>
  <si>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</si>
  <si>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</si>
  <si>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</si>
  <si>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</si>
  <si>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</si>
  <si>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</si>
  <si>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</si>
  <si>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</si>
  <si>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</si>
  <si>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</si>
  <si>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</si>
  <si>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</si>
  <si>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</si>
  <si>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</si>
  <si>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</si>
  <si>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</si>
  <si>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</si>
  <si>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</si>
  <si>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</si>
  <si>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</si>
  <si>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</si>
  <si>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</si>
  <si>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</si>
  <si>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</si>
  <si>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</si>
  <si>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</si>
  <si>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</si>
  <si>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</si>
  <si>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</si>
  <si>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</si>
  <si>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</si>
  <si>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</si>
  <si>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</si>
  <si>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</si>
  <si>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</si>
  <si>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</si>
  <si>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</si>
  <si>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</si>
  <si>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</si>
  <si>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</si>
  <si>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</si>
  <si>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</si>
  <si>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</si>
  <si>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</si>
  <si>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</si>
  <si>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</si>
  <si>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</si>
  <si>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</si>
  <si>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</si>
  <si>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</si>
  <si>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</si>
  <si>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</si>
  <si>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</si>
  <si>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</si>
  <si>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</si>
  <si>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</si>
  <si>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</si>
  <si>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</si>
  <si>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</si>
  <si>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</si>
  <si>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</si>
  <si>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</si>
  <si>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</si>
  <si>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</si>
  <si>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</si>
  <si>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</si>
  <si>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</si>
  <si>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</si>
  <si>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</si>
  <si>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</si>
  <si>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</si>
  <si>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</si>
  <si>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</si>
  <si>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</si>
  <si>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</si>
  <si>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</si>
  <si>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</si>
  <si>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</si>
  <si>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</si>
  <si>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</si>
  <si>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</si>
  <si>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</si>
  <si>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</si>
  <si>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</si>
  <si>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</si>
  <si>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</si>
  <si>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</si>
  <si>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</si>
  <si>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</si>
  <si>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</si>
  <si>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</si>
  <si>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</si>
  <si>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</si>
  <si>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</si>
  <si>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</si>
  <si>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</si>
  <si>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</si>
  <si>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</si>
  <si>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</si>
  <si>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</si>
  <si>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</si>
  <si>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</si>
  <si>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</si>
  <si>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</si>
  <si>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</si>
  <si>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</si>
  <si>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</si>
  <si>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</si>
  <si>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</si>
  <si>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</si>
  <si>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</si>
  <si>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</si>
  <si>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</si>
  <si>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</si>
  <si>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</si>
  <si>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</si>
  <si>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</si>
  <si>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</si>
  <si>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</si>
  <si>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</si>
  <si>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</si>
  <si>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</si>
  <si>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</si>
  <si>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</si>
  <si>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</si>
  <si>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</si>
  <si>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</si>
  <si>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</si>
  <si>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</si>
  <si>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</si>
  <si>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</si>
  <si>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</si>
  <si>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</si>
  <si>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</si>
  <si>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</si>
  <si>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</si>
  <si>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</si>
  <si>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</si>
  <si>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</si>
  <si>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</si>
  <si>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</si>
  <si>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</si>
  <si>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</si>
  <si>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</si>
  <si>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</si>
  <si>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</si>
  <si>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</si>
  <si>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</si>
  <si>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</si>
  <si>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</si>
  <si>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</si>
  <si>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</si>
  <si>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</si>
  <si>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</si>
  <si>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</si>
  <si>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</si>
  <si>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</si>
  <si>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</si>
  <si>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</si>
  <si>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</si>
  <si>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</si>
  <si>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</si>
  <si>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</si>
  <si>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</si>
  <si>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</si>
  <si>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</si>
  <si>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</si>
  <si>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</si>
  <si>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</si>
  <si>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</si>
  <si>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</si>
  <si>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</si>
  <si>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</si>
  <si>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</si>
  <si>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</si>
  <si>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</si>
  <si>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</si>
  <si>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</si>
  <si>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</si>
  <si>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</si>
  <si>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</si>
  <si>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</si>
  <si>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</si>
  <si>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</si>
  <si>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</si>
  <si>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</si>
  <si>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</si>
  <si>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</si>
  <si>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</si>
  <si>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</si>
  <si>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</si>
  <si>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</si>
  <si>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</si>
  <si>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</si>
  <si>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</si>
  <si>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</si>
  <si>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</si>
  <si>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</si>
  <si>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</si>
  <si>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</si>
  <si>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</si>
  <si>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</si>
  <si>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</si>
  <si>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</si>
  <si>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</si>
  <si>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</si>
  <si>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</si>
  <si>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</si>
  <si>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</si>
  <si>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</si>
  <si>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</si>
  <si>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</si>
  <si>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</si>
  <si>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</si>
  <si>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</si>
  <si>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</si>
  <si>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</si>
  <si>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</si>
  <si>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</si>
  <si>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</si>
  <si>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</si>
  <si>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</si>
  <si>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</si>
  <si>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</si>
  <si>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</si>
  <si>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</si>
  <si>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</si>
  <si>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</si>
  <si>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</si>
  <si>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</si>
  <si>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</si>
  <si>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</si>
  <si>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</si>
  <si>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</si>
  <si>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</si>
  <si>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</si>
  <si>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</si>
  <si>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</si>
  <si>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</si>
  <si>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</si>
  <si>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</si>
  <si>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</si>
  <si>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</si>
  <si>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</si>
  <si>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</si>
  <si>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</si>
  <si>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</si>
  <si>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</si>
  <si>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</si>
  <si>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</si>
  <si>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</si>
  <si>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</si>
  <si>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</si>
  <si>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</si>
  <si>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</si>
  <si>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</si>
  <si>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</si>
  <si>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</si>
  <si>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</si>
  <si>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</si>
  <si>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</si>
  <si>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</si>
  <si>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</si>
  <si>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</si>
  <si>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</si>
  <si>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</si>
  <si>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</si>
  <si>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</si>
  <si>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</si>
  <si>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</si>
  <si>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</si>
  <si>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</si>
  <si>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</si>
  <si>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</si>
  <si>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</si>
  <si>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</si>
  <si>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</si>
  <si>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</si>
  <si>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</si>
  <si>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</si>
  <si>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</si>
  <si>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</si>
  <si>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</si>
  <si>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</si>
  <si>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</si>
  <si>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</si>
  <si>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</si>
  <si>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</si>
  <si>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</si>
  <si>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</si>
  <si>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</si>
  <si>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</si>
  <si>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</si>
  <si>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</si>
  <si>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</si>
  <si>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</si>
  <si>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</si>
  <si>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</si>
  <si>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</si>
  <si>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</si>
  <si>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</si>
  <si>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</si>
  <si>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</si>
  <si>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</si>
  <si>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</si>
  <si>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</si>
  <si>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</si>
  <si>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</si>
  <si>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</si>
  <si>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</si>
  <si>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</si>
  <si>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</si>
  <si>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</si>
  <si>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</si>
  <si>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</si>
  <si>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</si>
  <si>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</si>
  <si>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</si>
  <si>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</si>
  <si>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</si>
  <si>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</si>
  <si>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</si>
  <si>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</si>
  <si>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</si>
  <si>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</si>
  <si>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</si>
  <si>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</si>
  <si>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</si>
  <si>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</si>
  <si>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</si>
  <si>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</si>
  <si>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</si>
  <si>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</si>
  <si>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</si>
  <si>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</si>
  <si>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</si>
  <si>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</si>
  <si>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</si>
  <si>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</si>
  <si>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</si>
  <si>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</si>
  <si>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</si>
  <si>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</si>
  <si>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</si>
  <si>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</si>
  <si>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</si>
  <si>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</si>
  <si>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</si>
  <si>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</si>
  <si>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</si>
  <si>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</si>
  <si>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</si>
  <si>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</si>
  <si>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</si>
  <si>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</si>
  <si>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</si>
  <si>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</si>
  <si>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</si>
  <si>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</si>
  <si>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</si>
  <si>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</si>
  <si>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</si>
  <si>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</si>
  <si>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</si>
  <si>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</si>
  <si>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</si>
  <si>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</si>
  <si>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</si>
  <si>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</si>
  <si>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</si>
  <si>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</si>
  <si>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</si>
  <si>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</si>
  <si>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</si>
  <si>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</si>
  <si>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</si>
  <si>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</si>
  <si>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</si>
  <si>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</si>
  <si>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</si>
  <si>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</si>
  <si>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</si>
  <si>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</si>
  <si>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</si>
  <si>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</si>
  <si>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</si>
  <si>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</si>
  <si>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</si>
  <si>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</si>
  <si>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</si>
  <si>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</si>
  <si>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</si>
  <si>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</si>
  <si>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</si>
  <si>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</si>
  <si>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</si>
  <si>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</si>
  <si>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</si>
  <si>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</si>
  <si>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</si>
  <si>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</si>
  <si>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</si>
  <si>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</si>
  <si>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</si>
  <si>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</si>
  <si>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</si>
  <si>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</si>
  <si>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</si>
  <si>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</si>
  <si>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</si>
  <si>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</si>
  <si>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</si>
  <si>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</si>
  <si>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</si>
  <si>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</si>
  <si>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</si>
  <si>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</si>
  <si>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</si>
  <si>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</si>
  <si>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</si>
  <si>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</si>
  <si>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</si>
  <si>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</si>
  <si>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</si>
  <si>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</si>
  <si>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</si>
  <si>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</si>
  <si>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</si>
  <si>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</si>
  <si>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</si>
  <si>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</si>
  <si>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</si>
  <si>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</si>
  <si>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</si>
  <si>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</si>
  <si>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</si>
  <si>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</si>
  <si>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</si>
  <si>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</si>
  <si>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</si>
  <si>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</si>
  <si>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</si>
  <si>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</si>
  <si>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</si>
  <si>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</si>
  <si>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</si>
  <si>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</si>
  <si>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</si>
  <si>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</si>
  <si>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</si>
  <si>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</si>
  <si>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</si>
  <si>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</si>
  <si>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</si>
  <si>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</si>
  <si>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</si>
  <si>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</si>
  <si>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</si>
  <si>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</si>
  <si>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</si>
  <si>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</si>
  <si>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</si>
  <si>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</si>
  <si>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</si>
  <si>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</si>
  <si>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</si>
  <si>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</si>
  <si>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</si>
  <si>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</si>
  <si>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</si>
  <si>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</si>
  <si>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</si>
  <si>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</si>
  <si>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</si>
  <si>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</si>
  <si>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</si>
  <si>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</si>
  <si>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</si>
  <si>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</si>
  <si>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</si>
  <si>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</si>
  <si>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</si>
  <si>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</si>
  <si>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</si>
  <si>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</si>
  <si>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</si>
  <si>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</si>
  <si>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</si>
  <si>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</si>
  <si>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</si>
  <si>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</si>
  <si>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</si>
  <si>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</si>
  <si>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</si>
  <si>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</si>
  <si>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</si>
  <si>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</si>
  <si>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</si>
  <si>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</si>
  <si>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</si>
  <si>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</si>
  <si>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</si>
  <si>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</si>
  <si>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</si>
  <si>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</si>
  <si>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</si>
  <si>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</si>
  <si>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</si>
  <si>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</si>
  <si>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</si>
  <si>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</si>
  <si>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</si>
  <si>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</si>
  <si>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</si>
  <si>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</si>
  <si>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</si>
  <si>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</si>
  <si>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</si>
  <si>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</si>
  <si>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</si>
  <si>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</si>
  <si>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</si>
  <si>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</si>
  <si>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</si>
  <si>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</si>
  <si>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</si>
  <si>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</si>
  <si>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</si>
  <si>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</si>
  <si>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</si>
  <si>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</si>
  <si>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</si>
  <si>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</si>
  <si>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</si>
  <si>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</si>
  <si>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</si>
  <si>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</si>
  <si>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</si>
  <si>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</si>
  <si>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</si>
  <si>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</si>
  <si>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</si>
  <si>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</si>
  <si>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</si>
  <si>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</si>
  <si>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</si>
  <si>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</si>
  <si>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</si>
  <si>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</si>
  <si>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</si>
  <si>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</si>
  <si>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</si>
  <si>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</si>
  <si>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</si>
  <si>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</si>
  <si>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</si>
  <si>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</si>
  <si>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</si>
  <si>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</si>
  <si>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</si>
  <si>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</si>
  <si>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</si>
  <si>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</si>
  <si>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</si>
  <si>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</si>
  <si>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</si>
  <si>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</si>
  <si>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</si>
  <si>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</si>
  <si>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</si>
  <si>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</si>
  <si>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</si>
  <si>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</si>
  <si>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</si>
  <si>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</si>
  <si>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</si>
  <si>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</si>
  <si>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</si>
  <si>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</si>
  <si>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</si>
  <si>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</si>
  <si>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</si>
  <si>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</si>
  <si>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</si>
  <si>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</si>
  <si>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</si>
  <si>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</si>
  <si>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</si>
  <si>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</si>
  <si>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</si>
  <si>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</si>
  <si>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</si>
  <si>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</si>
  <si>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</si>
  <si>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</si>
  <si>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</si>
  <si>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</si>
  <si>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</si>
  <si>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</si>
  <si>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</si>
  <si>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</si>
  <si>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</si>
  <si>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</si>
  <si>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</si>
  <si>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</si>
  <si>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</si>
  <si>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</si>
  <si>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</si>
  <si>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</si>
  <si>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</si>
  <si>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</si>
  <si>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</si>
  <si>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</si>
  <si>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</si>
  <si>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</si>
  <si>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</si>
  <si>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</si>
  <si>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</si>
  <si>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</si>
  <si>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</si>
  <si>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</si>
  <si>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</si>
  <si>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</si>
  <si>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</si>
  <si>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</si>
  <si>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</si>
  <si>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</si>
  <si>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</si>
  <si>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</si>
  <si>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</si>
  <si>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</si>
  <si>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</si>
  <si>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</si>
  <si>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</si>
  <si>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</si>
  <si>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</si>
  <si>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</si>
  <si>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</si>
  <si>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</si>
  <si>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</si>
  <si>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</si>
  <si>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</si>
  <si>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</si>
  <si>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</si>
  <si>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</si>
  <si>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</si>
  <si>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</si>
  <si>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</si>
  <si>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</si>
  <si>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</si>
  <si>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</si>
  <si>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</si>
  <si>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</si>
  <si>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</si>
  <si>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</si>
  <si>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</si>
  <si>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</si>
  <si>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</si>
  <si>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</si>
  <si>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</si>
  <si>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</si>
  <si>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</si>
  <si>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</si>
  <si>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</si>
  <si>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</si>
  <si>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</si>
  <si>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</si>
  <si>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</si>
  <si>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</si>
  <si>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</si>
  <si>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</si>
  <si>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</si>
  <si>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</si>
  <si>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</si>
  <si>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</si>
  <si>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</si>
  <si>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</si>
  <si>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</si>
  <si>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</si>
  <si>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</si>
  <si>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</si>
  <si>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</si>
  <si>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</si>
  <si>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</si>
  <si>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</si>
  <si>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</si>
  <si>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</si>
  <si>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</si>
  <si>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</si>
  <si>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</si>
  <si>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</si>
  <si>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</si>
  <si>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</si>
  <si>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</si>
  <si>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</si>
  <si>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</si>
  <si>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</si>
  <si>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</si>
  <si>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</si>
  <si>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</si>
  <si>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</si>
  <si>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</si>
  <si>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</si>
  <si>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</si>
  <si>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</si>
  <si>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</si>
  <si>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</si>
  <si>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</si>
  <si>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</si>
  <si>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</si>
  <si>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</si>
  <si>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</si>
  <si>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</si>
  <si>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</si>
  <si>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</si>
  <si>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</si>
  <si>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</si>
  <si>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</si>
  <si>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</si>
  <si>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</si>
  <si>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</si>
  <si>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</si>
  <si>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</si>
  <si>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</si>
  <si>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</si>
  <si>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</si>
  <si>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</si>
  <si>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</si>
  <si>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</si>
  <si>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</si>
  <si>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</si>
  <si>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</si>
  <si>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</si>
  <si>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</si>
  <si>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</si>
  <si>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</si>
  <si>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</si>
  <si>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</si>
  <si>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</si>
  <si>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</si>
  <si>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</si>
  <si>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</si>
  <si>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</si>
  <si>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</si>
  <si>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</si>
  <si>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</si>
  <si>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</si>
  <si>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</si>
  <si>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</si>
  <si>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</si>
  <si>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</si>
  <si>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</si>
  <si>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</si>
  <si>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</si>
  <si>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</si>
  <si>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</si>
  <si>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</si>
  <si>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</si>
  <si>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</si>
  <si>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</si>
  <si>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</si>
  <si>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</si>
  <si>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</si>
  <si>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</si>
  <si>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</si>
  <si>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</si>
  <si>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</si>
  <si>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</si>
  <si>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</si>
  <si>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</si>
  <si>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</si>
  <si>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</si>
  <si>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</si>
  <si>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</si>
  <si>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</si>
  <si>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</si>
  <si>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</si>
  <si>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</si>
  <si>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</si>
  <si>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</si>
  <si>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</si>
  <si>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</si>
  <si>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</si>
  <si>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</si>
  <si>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</si>
  <si>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</si>
  <si>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</si>
  <si>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</si>
  <si>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</si>
  <si>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</si>
  <si>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</si>
  <si>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</si>
  <si>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</si>
  <si>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</si>
  <si>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</si>
  <si>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</si>
  <si>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</si>
  <si>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</si>
  <si>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</si>
  <si>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</si>
  <si>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</si>
  <si>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</si>
  <si>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</si>
  <si>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</si>
  <si>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</si>
  <si>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</si>
  <si>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</si>
  <si>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</si>
  <si>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</si>
  <si>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</si>
  <si>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</si>
  <si>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</si>
  <si>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</si>
  <si>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</si>
  <si>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</si>
  <si>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</si>
  <si>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</si>
  <si>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</si>
  <si>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</si>
  <si>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</si>
  <si>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</si>
  <si>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</si>
  <si>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</si>
  <si>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</si>
  <si>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</si>
  <si>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</si>
  <si>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</si>
  <si>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</si>
  <si>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</si>
  <si>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</si>
  <si>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</si>
  <si>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</si>
  <si>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</si>
  <si>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</si>
  <si>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</si>
  <si>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</si>
  <si>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</si>
  <si>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</si>
  <si>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</si>
  <si>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</si>
  <si>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</si>
  <si>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</si>
  <si>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</si>
  <si>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</si>
  <si>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</si>
  <si>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</si>
  <si>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</si>
  <si>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</si>
  <si>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</si>
  <si>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</si>
  <si>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</si>
  <si>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</si>
  <si>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</si>
  <si>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</si>
  <si>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</si>
  <si>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</si>
  <si>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</si>
  <si>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</si>
  <si>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</si>
  <si>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</si>
  <si>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</si>
  <si>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</si>
  <si>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</si>
  <si>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</si>
  <si>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</si>
  <si>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</si>
  <si>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</si>
  <si>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</si>
  <si>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</si>
  <si>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</si>
  <si>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</si>
  <si>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</si>
  <si>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</si>
  <si>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</si>
  <si>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</si>
  <si>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</si>
  <si>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</si>
  <si>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</si>
  <si>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</si>
  <si>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</si>
  <si>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</si>
  <si>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</si>
  <si>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</si>
  <si>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</si>
  <si>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</si>
  <si>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</si>
  <si>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</si>
  <si>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</si>
  <si>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</si>
  <si>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</si>
  <si>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</si>
  <si>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</si>
  <si>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</si>
  <si>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</si>
  <si>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</si>
  <si>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</si>
  <si>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</si>
  <si>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</si>
  <si>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</si>
  <si>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</si>
  <si>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</si>
  <si>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</si>
  <si>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</si>
  <si>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</si>
  <si>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</si>
  <si>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</si>
  <si>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</si>
  <si>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</si>
  <si>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</si>
  <si>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</si>
  <si>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</si>
  <si>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</si>
  <si>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</si>
  <si>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</si>
  <si>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</si>
  <si>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</si>
  <si>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</si>
  <si>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</si>
  <si>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</si>
  <si>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</si>
  <si>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</si>
  <si>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</si>
  <si>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</si>
  <si>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</si>
  <si>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</si>
  <si>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</si>
  <si>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</si>
  <si>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</si>
  <si>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</si>
  <si>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</si>
  <si>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</si>
  <si>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</si>
  <si>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</si>
  <si>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</si>
  <si>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</si>
  <si>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</si>
  <si>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</si>
  <si>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</si>
  <si>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</si>
  <si>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</si>
  <si>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</si>
  <si>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</si>
  <si>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</si>
  <si>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</si>
  <si>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</si>
  <si>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</si>
  <si>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</si>
  <si>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</si>
  <si>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</si>
  <si>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</si>
  <si>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</si>
  <si>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</si>
  <si>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</si>
  <si>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</si>
  <si>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</si>
  <si>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</si>
  <si>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</si>
  <si>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</si>
  <si>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</si>
  <si>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</si>
  <si>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</si>
  <si>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</si>
  <si>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</si>
  <si>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</si>
  <si>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</si>
  <si>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</si>
  <si>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</si>
  <si>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</si>
  <si>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</si>
  <si>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</si>
  <si>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</si>
  <si>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</si>
  <si>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</si>
  <si>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</si>
  <si>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</si>
  <si>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</si>
  <si>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</si>
  <si>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</si>
  <si>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</si>
  <si>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</si>
  <si>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</si>
  <si>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</si>
  <si>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</si>
  <si>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</si>
  <si>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</si>
  <si>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</si>
  <si>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</si>
  <si>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</si>
  <si>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</si>
  <si>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</si>
  <si>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</si>
  <si>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</si>
  <si>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</si>
  <si>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</si>
  <si>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</si>
  <si>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</si>
  <si>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</si>
  <si>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</si>
  <si>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</si>
  <si>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</si>
  <si>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</si>
  <si>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</si>
  <si>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</si>
  <si>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</si>
  <si>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</si>
  <si>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</si>
  <si>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</si>
  <si>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</si>
  <si>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</si>
  <si>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</si>
  <si>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</si>
  <si>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</si>
  <si>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</si>
  <si>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</si>
  <si>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</si>
  <si>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</si>
  <si>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</si>
  <si>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</si>
  <si>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</si>
  <si>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</si>
  <si>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</si>
  <si>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</si>
  <si>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</si>
  <si>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</si>
  <si>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</si>
  <si>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</si>
  <si>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</si>
  <si>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</si>
  <si>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</si>
  <si>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</si>
  <si>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</si>
  <si>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</si>
  <si>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</si>
  <si>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</si>
  <si>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</si>
  <si>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</si>
  <si>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</si>
  <si>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</si>
  <si>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</si>
  <si>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</si>
  <si>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</si>
  <si>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</si>
  <si>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</si>
  <si>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</si>
  <si>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</si>
  <si>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</si>
  <si>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</si>
  <si>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</si>
  <si>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</si>
  <si>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</si>
  <si>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</si>
  <si>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</si>
  <si>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</si>
  <si>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</si>
  <si>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</si>
  <si>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</si>
  <si>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</si>
  <si>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</si>
  <si>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</si>
  <si>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</si>
  <si>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</si>
  <si>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</si>
  <si>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</si>
  <si>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</si>
  <si>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</si>
  <si>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</si>
  <si>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</si>
  <si>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</si>
  <si>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</si>
  <si>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</si>
  <si>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</si>
  <si>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</si>
  <si>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</si>
  <si>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</si>
  <si>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</si>
  <si>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</si>
  <si>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</si>
  <si>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</si>
  <si>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</si>
  <si>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</si>
  <si>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</si>
  <si>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</si>
  <si>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</si>
  <si>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</si>
  <si>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</si>
  <si>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</si>
  <si>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</si>
  <si>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</si>
  <si>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</si>
  <si>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</si>
  <si>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</si>
  <si>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</si>
  <si>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</si>
  <si>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</si>
  <si>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</si>
  <si>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</si>
  <si>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</si>
  <si>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</si>
  <si>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</si>
  <si>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</si>
  <si>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</si>
  <si>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</si>
  <si>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</si>
  <si>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</si>
  <si>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</si>
  <si>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</si>
  <si>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</si>
  <si>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</si>
  <si>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</si>
  <si>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</si>
  <si>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</si>
  <si>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</si>
  <si>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</si>
  <si>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</si>
  <si>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</si>
  <si>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</si>
  <si>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</si>
  <si>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</si>
  <si>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</si>
  <si>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</si>
  <si>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</si>
  <si>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</si>
  <si>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</si>
  <si>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</si>
  <si>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</si>
  <si>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</si>
  <si>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</si>
  <si>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</si>
  <si>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</si>
  <si>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</si>
  <si>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</si>
  <si>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</si>
  <si>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</si>
  <si>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</si>
  <si>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</si>
  <si>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</si>
  <si>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</si>
  <si>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</si>
  <si>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</si>
  <si>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</si>
  <si>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</si>
  <si>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</si>
  <si>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</si>
  <si>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</si>
  <si>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</si>
  <si>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</si>
  <si>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</si>
  <si>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</si>
  <si>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</si>
  <si>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</si>
  <si>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</si>
  <si>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</si>
  <si>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</si>
  <si>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</si>
  <si>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</si>
  <si>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</si>
  <si>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</si>
  <si>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</si>
  <si>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</si>
  <si>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</si>
  <si>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</si>
  <si>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</si>
  <si>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</si>
  <si>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</si>
  <si>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</si>
  <si>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</si>
  <si>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</si>
  <si>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</si>
  <si>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</si>
  <si>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</si>
  <si>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</si>
  <si>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</si>
  <si>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</si>
  <si>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</si>
  <si>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</si>
  <si>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</si>
  <si>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</si>
  <si>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</si>
  <si>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</si>
  <si>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</si>
  <si>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</si>
  <si>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</si>
  <si>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</si>
  <si>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</si>
  <si>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</si>
  <si>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</si>
  <si>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</si>
  <si>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</si>
  <si>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</si>
  <si>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</si>
  <si>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</si>
  <si>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</si>
  <si>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</si>
  <si>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</si>
  <si>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</si>
  <si>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</si>
  <si>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</si>
  <si>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</si>
  <si>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</si>
  <si>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</si>
  <si>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</si>
  <si>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</si>
  <si>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</si>
  <si>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</si>
  <si>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</si>
  <si>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</si>
  <si>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</si>
  <si>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</si>
  <si>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</si>
  <si>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</si>
  <si>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</si>
  <si>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</si>
  <si>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</si>
  <si>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</si>
  <si>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</si>
  <si>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</si>
  <si>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</si>
  <si>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</si>
  <si>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</si>
  <si>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</si>
  <si>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</si>
  <si>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</si>
  <si>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</si>
  <si>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</si>
  <si>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</si>
  <si>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</si>
  <si>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</si>
  <si>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</si>
  <si>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</si>
  <si>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</si>
  <si>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</si>
  <si>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</si>
  <si>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</si>
  <si>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</si>
  <si>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</si>
  <si>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</si>
  <si>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</si>
  <si>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</si>
  <si>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</si>
  <si>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</si>
  <si>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</si>
  <si>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</si>
  <si>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</si>
  <si>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</si>
  <si>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</si>
  <si>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</si>
  <si>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</si>
  <si>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</si>
  <si>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</si>
  <si>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</si>
  <si>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</si>
  <si>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</si>
  <si>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</si>
  <si>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</si>
  <si>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</si>
  <si>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</si>
  <si>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</si>
  <si>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</si>
  <si>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</si>
  <si>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</si>
  <si>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</si>
  <si>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</si>
  <si>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</si>
  <si>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</si>
  <si>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</si>
  <si>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</si>
  <si>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</si>
  <si>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</si>
  <si>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</si>
  <si>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</si>
  <si>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</si>
  <si>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</si>
  <si>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</si>
  <si>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</si>
  <si>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</si>
  <si>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</si>
  <si>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</si>
  <si>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</si>
  <si>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</si>
  <si>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</si>
  <si>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</si>
  <si>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</si>
  <si>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</si>
  <si>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</si>
  <si>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</si>
  <si>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</si>
  <si>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</si>
  <si>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</si>
  <si>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</si>
  <si>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</si>
  <si>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</si>
  <si>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</si>
  <si>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</si>
  <si>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</si>
  <si>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</si>
  <si>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</si>
  <si>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</si>
  <si>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</si>
  <si>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</si>
  <si>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</si>
  <si>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</si>
  <si>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</si>
  <si>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</si>
  <si>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</si>
  <si>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</si>
  <si>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</si>
  <si>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</si>
  <si>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</si>
  <si>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</si>
  <si>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</si>
  <si>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</si>
  <si>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</si>
  <si>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</si>
  <si>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</si>
  <si>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</si>
  <si>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</si>
  <si>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</si>
  <si>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</si>
  <si>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</si>
  <si>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</si>
  <si>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</si>
  <si>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</si>
  <si>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</si>
  <si>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</si>
  <si>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</si>
  <si>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</si>
  <si>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</si>
  <si>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</si>
  <si>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</si>
  <si>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</si>
  <si>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</si>
  <si>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</si>
  <si>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</si>
  <si>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</si>
  <si>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</si>
  <si>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</si>
  <si>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</si>
  <si>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</si>
  <si>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</si>
  <si>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</si>
  <si>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</si>
  <si>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</si>
  <si>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</si>
  <si>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</si>
  <si>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</si>
  <si>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</si>
  <si>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</si>
  <si>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</si>
  <si>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</si>
  <si>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</si>
  <si>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</si>
  <si>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</si>
  <si>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</si>
  <si>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</si>
  <si>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</si>
  <si>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</si>
  <si>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</si>
  <si>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</si>
  <si>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</si>
  <si>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</si>
  <si>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</si>
  <si>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</si>
  <si>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</si>
  <si>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</si>
  <si>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</si>
  <si>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</si>
  <si>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</si>
  <si>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</si>
  <si>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</si>
  <si>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</si>
  <si>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</si>
  <si>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</si>
  <si>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</si>
  <si>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</si>
  <si>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</si>
  <si>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</si>
  <si>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</si>
  <si>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</si>
  <si>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</si>
  <si>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</si>
  <si>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</si>
  <si>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</si>
  <si>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</si>
  <si>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</si>
  <si>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</si>
  <si>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</si>
  <si>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</si>
  <si>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</si>
  <si>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</si>
  <si>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</si>
  <si>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</si>
  <si>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</si>
  <si>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</si>
  <si>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</si>
  <si>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</si>
  <si>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</si>
  <si>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</si>
  <si>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</si>
  <si>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</si>
  <si>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</si>
  <si>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</si>
  <si>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</si>
  <si>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</si>
  <si>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</si>
  <si>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</si>
  <si>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</si>
  <si>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</si>
  <si>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</si>
  <si>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</si>
  <si>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</si>
  <si>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</si>
  <si>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</si>
  <si>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</si>
  <si>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</si>
  <si>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</si>
  <si>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</si>
  <si>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</si>
  <si>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</si>
  <si>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</si>
  <si>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</si>
  <si>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</si>
  <si>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</si>
  <si>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</si>
  <si>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</si>
  <si>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</si>
  <si>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</si>
  <si>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</si>
  <si>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</si>
  <si>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</si>
  <si>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</si>
  <si>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</si>
  <si>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</si>
  <si>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</si>
  <si>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</si>
  <si>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</si>
  <si>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</si>
  <si>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</si>
  <si>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</si>
  <si>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</si>
  <si>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</si>
  <si>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</si>
  <si>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</si>
  <si>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</si>
  <si>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</si>
  <si>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</si>
  <si>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</si>
  <si>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</si>
  <si>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</si>
  <si>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</si>
  <si>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</si>
  <si>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</si>
  <si>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</si>
  <si>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</si>
  <si>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</si>
  <si>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</si>
  <si>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</si>
  <si>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</si>
  <si>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</si>
  <si>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</si>
  <si>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</si>
  <si>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</si>
  <si>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</si>
  <si>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</si>
  <si>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</si>
  <si>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</si>
  <si>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</si>
  <si>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</si>
  <si>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</si>
  <si>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</si>
  <si>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</si>
  <si>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</si>
  <si>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</si>
  <si>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</si>
  <si>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</si>
  <si>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</si>
  <si>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</si>
  <si>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</si>
  <si>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</si>
  <si>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</si>
  <si>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</si>
  <si>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</si>
  <si>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</si>
  <si>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</si>
  <si>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</si>
  <si>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</si>
  <si>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</si>
  <si>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</si>
  <si>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</si>
  <si>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</si>
  <si>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</si>
  <si>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</si>
  <si>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</si>
  <si>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</si>
  <si>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</si>
  <si>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</si>
  <si>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</si>
  <si>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</si>
  <si>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</si>
  <si>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</si>
  <si>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</si>
  <si>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</si>
  <si>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</si>
  <si>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</si>
  <si>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</si>
  <si>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</si>
  <si>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</si>
  <si>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</si>
  <si>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</si>
  <si>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</si>
  <si>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</si>
  <si>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</si>
  <si>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</si>
  <si>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</si>
  <si>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</si>
  <si>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</si>
  <si>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</si>
  <si>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</si>
  <si>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</si>
  <si>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</si>
  <si>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</si>
  <si>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</si>
  <si>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</si>
  <si>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</si>
  <si>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</si>
  <si>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</si>
  <si>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</si>
  <si>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</si>
  <si>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</si>
  <si>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</si>
  <si>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</si>
  <si>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</si>
  <si>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</si>
  <si>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</si>
  <si>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</si>
  <si>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</si>
  <si>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</si>
  <si>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</si>
  <si>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</si>
  <si>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</si>
  <si>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</si>
  <si>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</si>
  <si>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</si>
  <si>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</si>
  <si>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</si>
  <si>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</si>
  <si>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</si>
  <si>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</si>
  <si>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</si>
  <si>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</si>
  <si>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</si>
  <si>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</si>
  <si>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</si>
  <si>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</si>
  <si>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</si>
  <si>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</si>
  <si>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</si>
  <si>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</si>
  <si>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</si>
  <si>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</si>
  <si>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</si>
  <si>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</si>
  <si>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</si>
  <si>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</si>
  <si>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</si>
  <si>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</si>
  <si>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</si>
  <si>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</si>
  <si>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</si>
  <si>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</si>
  <si>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</si>
  <si>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</si>
  <si>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</si>
  <si>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</si>
  <si>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</si>
  <si>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</si>
  <si>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</si>
  <si>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</si>
  <si>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</si>
  <si>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</si>
  <si>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</si>
  <si>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</si>
  <si>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</si>
  <si>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</si>
  <si>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</si>
  <si>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</si>
  <si>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</si>
  <si>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</si>
  <si>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</si>
  <si>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</si>
  <si>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</si>
  <si>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</si>
  <si>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</si>
  <si>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</si>
  <si>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</si>
  <si>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</si>
  <si>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</si>
  <si>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</si>
  <si>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</si>
  <si>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</si>
  <si>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</si>
  <si>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</si>
  <si>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</si>
  <si>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</si>
  <si>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</si>
  <si>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</si>
  <si>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</si>
  <si>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</si>
  <si>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</si>
  <si>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</si>
  <si>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</si>
  <si>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</si>
  <si>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</si>
  <si>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</si>
  <si>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</si>
  <si>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</si>
  <si>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</si>
  <si>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</si>
  <si>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</si>
  <si>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</si>
  <si>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</si>
  <si>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</si>
  <si>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</si>
  <si>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</si>
  <si>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</si>
  <si>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</si>
  <si>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</si>
  <si>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</si>
  <si>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</si>
  <si>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</si>
  <si>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</si>
  <si>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</si>
  <si>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</si>
  <si>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</si>
  <si>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</si>
  <si>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</si>
  <si>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</si>
  <si>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</si>
  <si>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</si>
  <si>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</si>
  <si>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</si>
  <si>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</si>
  <si>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</si>
  <si>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</si>
  <si>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</si>
  <si>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</si>
  <si>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</si>
  <si>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</si>
  <si>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</si>
  <si>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</si>
  <si>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</si>
  <si>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</si>
  <si>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</si>
  <si>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</si>
  <si>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</si>
  <si>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</si>
  <si>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</si>
  <si>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</si>
  <si>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</si>
  <si>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</si>
  <si>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</si>
  <si>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</si>
  <si>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</si>
  <si>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</si>
  <si>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</si>
  <si>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</si>
  <si>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</si>
  <si>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</si>
  <si>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</si>
  <si>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</si>
  <si>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</si>
  <si>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</si>
  <si>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</si>
  <si>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</si>
  <si>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</si>
  <si>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</si>
  <si>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</si>
  <si>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</si>
  <si>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</si>
  <si>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</si>
  <si>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</si>
  <si>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</si>
  <si>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</si>
  <si>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</si>
  <si>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</si>
  <si>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</si>
  <si>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</si>
  <si>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</si>
  <si>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</si>
  <si>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</si>
  <si>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</si>
  <si>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</si>
  <si>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</si>
  <si>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</si>
  <si>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</si>
  <si>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</si>
  <si>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</si>
  <si>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</si>
  <si>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</si>
  <si>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</si>
  <si>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</si>
  <si>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</si>
  <si>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</si>
  <si>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</si>
  <si>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</si>
  <si>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</si>
  <si>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</si>
  <si>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</si>
  <si>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</si>
  <si>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</si>
  <si>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</si>
  <si>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</si>
  <si>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</si>
  <si>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</si>
  <si>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</si>
  <si>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</si>
  <si>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</si>
  <si>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</si>
  <si>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</si>
  <si>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</si>
  <si>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</si>
  <si>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</si>
  <si>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</si>
  <si>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</si>
  <si>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</si>
  <si>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</si>
  <si>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</si>
  <si>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</si>
  <si>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</si>
  <si>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</si>
  <si>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</si>
  <si>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</si>
  <si>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</si>
  <si>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</si>
  <si>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</si>
  <si>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</si>
  <si>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</si>
  <si>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</si>
  <si>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</si>
  <si>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</si>
  <si>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</si>
  <si>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</si>
  <si>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</si>
  <si>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</si>
  <si>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</si>
  <si>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</si>
  <si>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</si>
  <si>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</si>
  <si>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</si>
  <si>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</si>
  <si>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</si>
  <si>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</si>
  <si>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</si>
  <si>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</si>
  <si>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</si>
  <si>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</si>
  <si>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</si>
  <si>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</si>
  <si>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</si>
  <si>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</si>
  <si>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</si>
  <si>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</si>
  <si>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</si>
  <si>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</si>
  <si>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</si>
  <si>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</si>
  <si>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</si>
  <si>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</si>
  <si>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</si>
  <si>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</si>
  <si>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</si>
  <si>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</si>
  <si>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</si>
  <si>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</si>
  <si>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</si>
  <si>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</si>
  <si>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</si>
  <si>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</si>
  <si>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</si>
  <si>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</si>
  <si>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</si>
  <si>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</si>
  <si>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</si>
  <si>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</si>
  <si>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</si>
  <si>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</si>
  <si>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</si>
  <si>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</si>
  <si>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</si>
  <si>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</si>
  <si>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</si>
  <si>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</si>
  <si>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</si>
  <si>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</si>
  <si>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</si>
  <si>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</si>
  <si>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</si>
  <si>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</si>
  <si>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</si>
  <si>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</si>
  <si>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</si>
  <si>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</si>
  <si>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</si>
  <si>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</si>
  <si>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</si>
  <si>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</si>
  <si>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</si>
  <si>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</si>
  <si>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</si>
  <si>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</si>
  <si>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</si>
  <si>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</si>
  <si>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</si>
  <si>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</si>
  <si>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</si>
  <si>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</si>
  <si>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</si>
  <si>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</si>
  <si>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</si>
  <si>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</si>
  <si>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</si>
  <si>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</si>
  <si>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</si>
  <si>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</si>
  <si>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</si>
  <si>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</si>
  <si>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</si>
  <si>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</si>
  <si>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</si>
  <si>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</si>
  <si>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</si>
  <si>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</si>
  <si>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</si>
  <si>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</si>
  <si>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</si>
  <si>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</si>
  <si>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</si>
  <si>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</si>
  <si>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</si>
  <si>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</si>
  <si>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</si>
  <si>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</si>
  <si>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</si>
  <si>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</si>
  <si>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</si>
  <si>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</si>
  <si>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</si>
  <si>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</si>
  <si>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</si>
  <si>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</si>
  <si>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</si>
  <si>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</si>
  <si>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</si>
  <si>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</si>
  <si>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</si>
  <si>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</si>
  <si>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</si>
  <si>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</si>
  <si>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</si>
  <si>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</si>
  <si>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</si>
  <si>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</si>
  <si>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</si>
  <si>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</si>
  <si>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</si>
  <si>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</si>
  <si>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</si>
  <si>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</si>
  <si>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</si>
  <si>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</si>
  <si>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</si>
  <si>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</si>
  <si>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</si>
  <si>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</si>
  <si>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</si>
  <si>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</si>
  <si>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</si>
  <si>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</si>
  <si>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</si>
  <si>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</si>
  <si>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</si>
  <si>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</si>
  <si>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</si>
  <si>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</si>
  <si>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</si>
  <si>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</si>
  <si>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</si>
  <si>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</si>
  <si>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</si>
  <si>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</si>
  <si>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</si>
  <si>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</si>
  <si>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</si>
  <si>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</si>
  <si>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</si>
  <si>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</si>
  <si>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</si>
  <si>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</si>
  <si>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</si>
  <si>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</si>
  <si>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</si>
  <si>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</si>
  <si>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</si>
  <si>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</si>
  <si>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</si>
  <si>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</si>
  <si>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</si>
  <si>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</si>
  <si>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</si>
  <si>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</si>
  <si>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</si>
  <si>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</si>
  <si>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</si>
  <si>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</si>
  <si>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</si>
  <si>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</si>
  <si>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</si>
  <si>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</si>
  <si>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</si>
  <si>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</si>
  <si>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</si>
  <si>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</si>
  <si>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</si>
  <si>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</si>
  <si>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</si>
  <si>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</si>
  <si>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</si>
  <si>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</si>
  <si>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</si>
  <si>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</si>
  <si>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</si>
  <si>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</si>
  <si>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</si>
  <si>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</si>
  <si>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</si>
  <si>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</si>
  <si>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</si>
  <si>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</si>
  <si>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</si>
  <si>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</si>
  <si>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</si>
  <si>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</si>
  <si>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</si>
  <si>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</si>
  <si>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</si>
  <si>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</si>
  <si>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</si>
  <si>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</si>
  <si>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</si>
  <si>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</si>
  <si>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</si>
  <si>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</si>
  <si>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</si>
  <si>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</si>
  <si>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</si>
  <si>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</si>
  <si>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</si>
  <si>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</si>
  <si>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</si>
  <si>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</si>
  <si>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</si>
  <si>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</si>
  <si>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</si>
  <si>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</si>
  <si>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</si>
  <si>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</si>
  <si>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</si>
  <si>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</si>
  <si>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</si>
  <si>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</si>
  <si>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</si>
  <si>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</si>
  <si>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</si>
  <si>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</si>
  <si>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</si>
  <si>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</si>
  <si>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</si>
  <si>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</si>
  <si>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</si>
  <si>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</si>
  <si>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</si>
  <si>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</si>
  <si>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</si>
  <si>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</si>
  <si>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</si>
  <si>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</si>
  <si>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</si>
  <si>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</si>
  <si>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</si>
  <si>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</si>
  <si>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</si>
  <si>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</si>
  <si>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</si>
  <si>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</si>
  <si>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</si>
  <si>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</si>
  <si>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</si>
  <si>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</si>
  <si>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</si>
  <si>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</si>
  <si>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</si>
  <si>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</si>
  <si>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</si>
  <si>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</si>
  <si>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</si>
  <si>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</si>
  <si>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</si>
  <si>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</si>
  <si>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</si>
  <si>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</si>
  <si>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</si>
  <si>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</si>
  <si>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</si>
  <si>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</si>
  <si>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</si>
  <si>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</si>
  <si>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</si>
  <si>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</si>
  <si>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</si>
  <si>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</si>
  <si>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</si>
  <si>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</si>
  <si>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</si>
  <si>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</si>
  <si>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</si>
  <si>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</si>
  <si>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</si>
  <si>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</si>
  <si>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</si>
  <si>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</si>
  <si>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</si>
  <si>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</si>
  <si>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</si>
  <si>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</si>
  <si>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</si>
  <si>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</si>
  <si>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</si>
  <si>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</si>
  <si>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</si>
  <si>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</si>
  <si>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</si>
  <si>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</si>
  <si>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</si>
  <si>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</si>
  <si>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</si>
  <si>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</si>
  <si>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</si>
  <si>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</si>
  <si>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</si>
  <si>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</si>
  <si>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</si>
  <si>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</si>
  <si>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</si>
  <si>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</si>
  <si>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</si>
  <si>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</si>
  <si>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</si>
  <si>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</si>
  <si>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</si>
  <si>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</si>
  <si>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</si>
  <si>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</si>
  <si>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</si>
  <si>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</si>
  <si>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</si>
  <si>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</si>
  <si>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</si>
  <si>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</si>
  <si>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</si>
  <si>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</si>
  <si>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</si>
  <si>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</si>
  <si>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</si>
  <si>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</si>
  <si>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</si>
  <si>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</si>
  <si>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</si>
  <si>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</si>
  <si>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</si>
  <si>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</si>
  <si>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</si>
  <si>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</si>
  <si>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</si>
  <si>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</si>
  <si>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</si>
  <si>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</si>
  <si>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</si>
  <si>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</si>
  <si>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</si>
  <si>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</si>
  <si>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</si>
  <si>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</si>
  <si>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</si>
  <si>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</si>
  <si>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</si>
  <si>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</si>
  <si>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</si>
  <si>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</si>
  <si>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</si>
  <si>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</si>
  <si>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</si>
  <si>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</si>
  <si>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</si>
  <si>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</si>
  <si>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</si>
  <si>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</si>
  <si>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</si>
  <si>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</si>
  <si>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</si>
  <si>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</si>
  <si>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</si>
  <si>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</si>
  <si>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</si>
  <si>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</si>
  <si>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</si>
  <si>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</si>
  <si>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</si>
  <si>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</si>
  <si>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</si>
  <si>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</si>
  <si>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</si>
  <si>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</si>
  <si>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</si>
  <si>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</si>
  <si>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</si>
  <si>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</si>
  <si>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</si>
  <si>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</si>
  <si>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</si>
  <si>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</si>
  <si>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</si>
  <si>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</si>
  <si>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</si>
  <si>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</si>
  <si>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</si>
  <si>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</si>
  <si>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</si>
  <si>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</si>
  <si>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</si>
  <si>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</si>
  <si>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</si>
  <si>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</si>
  <si>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</si>
  <si>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</si>
  <si>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</si>
  <si>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</si>
  <si>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</si>
  <si>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</si>
  <si>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</si>
  <si>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</si>
  <si>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</si>
  <si>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</si>
  <si>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</si>
  <si>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</si>
  <si>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</si>
  <si>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</si>
  <si>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</si>
  <si>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</si>
  <si>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</si>
  <si>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</si>
  <si>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</si>
  <si>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</si>
  <si>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</si>
  <si>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</si>
  <si>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</si>
  <si>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</si>
  <si>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</si>
  <si>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</si>
  <si>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</si>
  <si>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</si>
  <si>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</si>
  <si>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</si>
  <si>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</si>
  <si>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</si>
  <si>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</si>
  <si>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</si>
  <si>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</si>
  <si>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</si>
  <si>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</si>
  <si>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</si>
  <si>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</si>
  <si>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</si>
  <si>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</si>
  <si>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</si>
  <si>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</si>
  <si>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</si>
  <si>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</si>
  <si>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</si>
  <si>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</si>
  <si>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</si>
  <si>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</si>
  <si>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</si>
  <si>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</si>
  <si>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</si>
  <si>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</si>
  <si>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</si>
  <si>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</si>
  <si>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</si>
  <si>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</si>
  <si>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</si>
  <si>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</si>
  <si>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</si>
  <si>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</si>
  <si>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</si>
  <si>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</si>
  <si>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</si>
  <si>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</si>
  <si>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</si>
  <si>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</si>
  <si>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</si>
  <si>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</si>
  <si>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</si>
  <si>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</si>
  <si>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</si>
  <si>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</si>
  <si>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</si>
  <si>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</si>
  <si>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</si>
  <si>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</si>
  <si>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</si>
  <si>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</si>
  <si>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</si>
  <si>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</si>
  <si>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</si>
  <si>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</si>
  <si>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</si>
  <si>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</si>
  <si>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</si>
  <si>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</si>
  <si>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</si>
  <si>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</si>
  <si>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</si>
  <si>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</si>
  <si>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</si>
  <si>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</si>
  <si>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</si>
  <si>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</si>
  <si>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</si>
  <si>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</si>
  <si>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</si>
  <si>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</si>
  <si>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</si>
  <si>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</si>
  <si>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</si>
  <si>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</si>
  <si>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</si>
  <si>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</si>
  <si>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</si>
  <si>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</si>
  <si>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</si>
  <si>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</si>
  <si>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</si>
  <si>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</si>
  <si>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</si>
  <si>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</si>
  <si>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</si>
  <si>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</si>
  <si>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</si>
  <si>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</si>
  <si>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</si>
  <si>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</si>
  <si>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</si>
  <si>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</si>
  <si>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</si>
  <si>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</si>
  <si>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</si>
  <si>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</si>
  <si>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</si>
  <si>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</si>
  <si>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</si>
  <si>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</si>
  <si>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</si>
  <si>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</si>
  <si>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</si>
  <si>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</si>
  <si>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</si>
  <si>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</si>
  <si>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</si>
  <si>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</si>
  <si>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</si>
  <si>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</si>
  <si>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</si>
  <si>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</si>
  <si>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</si>
  <si>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</si>
  <si>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</si>
  <si>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</si>
  <si>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</si>
  <si>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</si>
  <si>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</si>
  <si>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</si>
  <si>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</si>
  <si>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</si>
  <si>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</si>
  <si>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</si>
  <si>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</si>
  <si>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</si>
  <si>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</si>
  <si>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</si>
  <si>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</si>
  <si>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</si>
  <si>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</si>
  <si>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</si>
  <si>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</si>
  <si>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</si>
  <si>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</si>
  <si>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</si>
  <si>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</si>
  <si>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</si>
  <si>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</si>
  <si>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</si>
  <si>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</si>
  <si>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</si>
  <si>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</si>
  <si>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</si>
  <si>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</si>
  <si>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</si>
  <si>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</si>
  <si>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</si>
  <si>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</si>
  <si>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</si>
  <si>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</si>
  <si>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</si>
  <si>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</si>
  <si>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</si>
  <si>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</si>
  <si>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</si>
  <si>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</si>
  <si>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</si>
  <si>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</si>
  <si>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</si>
  <si>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</si>
  <si>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</si>
  <si>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</si>
  <si>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</si>
  <si>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</si>
  <si>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</si>
  <si>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</si>
  <si>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</si>
  <si>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</si>
  <si>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</si>
  <si>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</si>
  <si>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</si>
  <si>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</si>
  <si>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</si>
  <si>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</si>
  <si>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</si>
  <si>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</si>
  <si>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</si>
  <si>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</si>
  <si>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</si>
  <si>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</si>
  <si>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</si>
  <si>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</si>
  <si>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</si>
  <si>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</si>
  <si>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</si>
  <si>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</si>
  <si>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</si>
  <si>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</si>
  <si>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</si>
  <si>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</si>
  <si>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</si>
  <si>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</si>
  <si>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</si>
  <si>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</si>
  <si>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</si>
  <si>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</si>
  <si>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</si>
  <si>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</si>
  <si>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</si>
  <si>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</si>
  <si>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</si>
  <si>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</si>
  <si>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</si>
  <si>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</si>
  <si>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</si>
  <si>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</si>
  <si>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</si>
  <si>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</si>
  <si>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</si>
  <si>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</si>
  <si>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</si>
  <si>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</si>
  <si>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</si>
  <si>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</si>
  <si>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</si>
  <si>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</si>
  <si>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</si>
  <si>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</si>
  <si>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</si>
  <si>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</si>
  <si>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</si>
  <si>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</si>
  <si>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</si>
  <si>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</si>
  <si>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</si>
  <si>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</si>
  <si>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</si>
  <si>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</si>
  <si>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</si>
  <si>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</si>
  <si>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</si>
  <si>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</si>
  <si>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</si>
  <si>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</si>
  <si>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</si>
  <si>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</si>
  <si>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</si>
  <si>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</si>
  <si>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</si>
  <si>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</si>
  <si>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</si>
  <si>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</si>
  <si>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</si>
  <si>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</si>
  <si>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</si>
  <si>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</si>
  <si>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</si>
  <si>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</si>
  <si>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</si>
  <si>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</si>
  <si>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</si>
  <si>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</si>
  <si>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</si>
  <si>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</si>
  <si>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</si>
  <si>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</si>
  <si>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</si>
  <si>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</si>
  <si>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</si>
  <si>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</si>
  <si>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</si>
  <si>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</si>
  <si>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</si>
  <si>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</si>
  <si>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</si>
  <si>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</si>
  <si>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</si>
  <si>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</si>
  <si>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</si>
  <si>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</si>
  <si>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</si>
  <si>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</si>
  <si>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</si>
  <si>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</si>
  <si>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</si>
  <si>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</si>
  <si>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</si>
  <si>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</si>
  <si>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</si>
  <si>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</si>
  <si>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</si>
  <si>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</si>
  <si>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</si>
  <si>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</si>
  <si>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</si>
  <si>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</si>
  <si>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</si>
  <si>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</si>
  <si>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</si>
  <si>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</si>
  <si>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</si>
  <si>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</si>
  <si>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</si>
  <si>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</si>
  <si>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</si>
  <si>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</si>
  <si>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</si>
  <si>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</si>
  <si>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</si>
  <si>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</si>
  <si>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</si>
  <si>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</si>
  <si>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</si>
  <si>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</si>
  <si>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</si>
  <si>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</si>
  <si>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</si>
  <si>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</si>
  <si>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</si>
  <si>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</si>
  <si>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</si>
  <si>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</si>
  <si>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</si>
  <si>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</si>
  <si>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</si>
  <si>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</si>
  <si>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</si>
  <si>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</si>
  <si>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</si>
  <si>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</si>
  <si>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</si>
  <si>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</si>
  <si>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</si>
  <si>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</si>
  <si>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</si>
  <si>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</si>
  <si>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</si>
  <si>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</si>
  <si>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</si>
  <si>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</si>
  <si>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</si>
  <si>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</si>
  <si>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</si>
  <si>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</si>
  <si>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</si>
  <si>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</si>
  <si>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</si>
  <si>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</si>
  <si>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</si>
  <si>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</si>
  <si>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</si>
  <si>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</si>
  <si>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</si>
  <si>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</si>
  <si>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</si>
  <si>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</si>
  <si>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</si>
  <si>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</si>
  <si>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</si>
  <si>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</si>
  <si>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</si>
  <si>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</si>
  <si>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</si>
  <si>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</si>
  <si>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</si>
  <si>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</si>
  <si>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</si>
  <si>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</si>
  <si>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</si>
  <si>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</si>
  <si>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</si>
  <si>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</si>
  <si>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</si>
  <si>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</si>
  <si>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</si>
  <si>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</si>
  <si>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</si>
  <si>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</si>
  <si>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</si>
  <si>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</si>
  <si>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</si>
  <si>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</si>
  <si>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</si>
  <si>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</si>
  <si>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</si>
  <si>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</si>
  <si>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</si>
  <si>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</si>
  <si>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</si>
  <si>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</si>
  <si>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</si>
  <si>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</si>
  <si>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</si>
  <si>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</si>
  <si>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</si>
  <si>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</si>
  <si>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</si>
  <si>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</si>
  <si>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</si>
  <si>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</si>
  <si>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</si>
  <si>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</si>
  <si>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</si>
  <si>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</si>
  <si>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</si>
  <si>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</si>
  <si>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</si>
  <si>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</si>
  <si>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</si>
  <si>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</si>
  <si>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</si>
  <si>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</si>
  <si>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</si>
  <si>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</si>
  <si>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</si>
  <si>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</si>
  <si>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</si>
  <si>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</si>
  <si>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</si>
  <si>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</si>
  <si>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</si>
  <si>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</si>
  <si>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</si>
  <si>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</si>
  <si>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</si>
  <si>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</si>
  <si>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</si>
  <si>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</si>
  <si>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</si>
  <si>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</si>
  <si>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</si>
  <si>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</si>
  <si>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</si>
  <si>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</si>
  <si>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</si>
  <si>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</si>
  <si>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</si>
  <si>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</si>
  <si>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</si>
  <si>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</si>
  <si>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</si>
  <si>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</si>
  <si>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</si>
  <si>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</si>
  <si>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</si>
  <si>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</si>
  <si>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</si>
  <si>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</si>
  <si>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</si>
  <si>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</si>
  <si>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</si>
  <si>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</si>
  <si>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</si>
  <si>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</si>
  <si>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</si>
  <si>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</si>
  <si>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</si>
  <si>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</si>
  <si>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</si>
  <si>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</si>
  <si>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</si>
  <si>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</si>
  <si>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</si>
  <si>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</si>
  <si>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</si>
  <si>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</si>
  <si>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</si>
  <si>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</si>
  <si>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</si>
  <si>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</si>
  <si>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</si>
  <si>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</si>
  <si>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</si>
  <si>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</si>
  <si>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</si>
  <si>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</si>
  <si>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</si>
  <si>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</si>
  <si>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</si>
  <si>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</si>
  <si>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</si>
  <si>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</si>
  <si>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</si>
  <si>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</si>
  <si>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</si>
  <si>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</si>
  <si>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</si>
  <si>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</si>
  <si>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</si>
  <si>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</si>
  <si>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</si>
  <si>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</si>
  <si>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</si>
  <si>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</si>
  <si>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</si>
  <si>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</si>
  <si>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</si>
  <si>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</si>
  <si>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</si>
  <si>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</si>
  <si>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</si>
  <si>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</si>
  <si>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</si>
  <si>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</si>
  <si>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</si>
  <si>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</si>
  <si>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</si>
  <si>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</si>
  <si>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</si>
  <si>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</si>
  <si>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</si>
  <si>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</si>
  <si>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</si>
  <si>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</si>
  <si>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</si>
  <si>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</si>
  <si>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</si>
  <si>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</si>
  <si>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</si>
  <si>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</si>
  <si>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</si>
  <si>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</si>
  <si>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</si>
  <si>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</si>
  <si>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</si>
  <si>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</si>
  <si>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</si>
  <si>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</si>
  <si>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</si>
  <si>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</si>
  <si>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</si>
  <si>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</si>
  <si>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</si>
  <si>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</si>
  <si>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</si>
  <si>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</si>
  <si>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</si>
  <si>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</si>
  <si>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</si>
  <si>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</si>
  <si>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</si>
  <si>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</si>
  <si>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</si>
  <si>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</si>
  <si>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</si>
  <si>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</si>
  <si>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</si>
  <si>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</si>
  <si>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</si>
  <si>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</si>
  <si>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</si>
  <si>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</si>
  <si>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</si>
  <si>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</si>
  <si>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</si>
  <si>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</si>
  <si>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</si>
  <si>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</si>
  <si>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</si>
  <si>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</si>
  <si>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</si>
  <si>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</si>
  <si>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</si>
  <si>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</si>
  <si>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</si>
  <si>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</si>
  <si>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</si>
  <si>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</si>
  <si>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</si>
  <si>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</si>
  <si>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</si>
  <si>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</si>
  <si>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</si>
  <si>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</si>
  <si>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</si>
  <si>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</si>
  <si>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</si>
  <si>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</si>
  <si>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</si>
  <si>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</si>
  <si>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</si>
  <si>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</si>
  <si>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</si>
  <si>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</si>
  <si>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</si>
  <si>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</si>
  <si>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</si>
  <si>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</si>
  <si>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</si>
  <si>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</si>
  <si>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</si>
  <si>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</si>
  <si>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</si>
  <si>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</si>
  <si>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</si>
  <si>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</si>
  <si>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</si>
  <si>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</si>
  <si>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</si>
  <si>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</si>
  <si>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</si>
  <si>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</si>
  <si>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</si>
  <si>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</si>
  <si>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</si>
  <si>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</si>
  <si>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</si>
  <si>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</si>
  <si>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</si>
  <si>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</si>
  <si>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</si>
  <si>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</si>
  <si>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</si>
  <si>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</si>
  <si>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</si>
  <si>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</si>
  <si>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</si>
  <si>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</si>
  <si>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</si>
  <si>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</si>
  <si>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</si>
  <si>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</si>
  <si>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</si>
  <si>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</si>
  <si>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</si>
  <si>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</si>
  <si>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</si>
  <si>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</si>
  <si>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</si>
  <si>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</si>
  <si>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</si>
  <si>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</si>
  <si>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</si>
  <si>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</si>
  <si>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</si>
  <si>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</si>
  <si>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</si>
  <si>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</si>
  <si>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</si>
  <si>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</si>
  <si>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</si>
  <si>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</si>
  <si>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</si>
  <si>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</si>
  <si>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</si>
  <si>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</si>
  <si>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</si>
  <si>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</si>
  <si>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</si>
  <si>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</si>
  <si>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</si>
  <si>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</si>
  <si>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</si>
  <si>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</si>
  <si>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</si>
  <si>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</si>
  <si>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</si>
  <si>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</si>
  <si>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</si>
  <si>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</si>
  <si>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</si>
  <si>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</si>
  <si>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</si>
  <si>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</si>
  <si>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</si>
  <si>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</si>
  <si>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</si>
  <si>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</si>
  <si>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</si>
  <si>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</si>
  <si>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</si>
  <si>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</si>
  <si>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</si>
  <si>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</si>
  <si>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</si>
  <si>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</si>
  <si>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</si>
  <si>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</si>
  <si>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</si>
  <si>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</si>
  <si>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</si>
  <si>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</si>
  <si>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</si>
  <si>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</si>
  <si>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</si>
  <si>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</si>
  <si>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</si>
  <si>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</si>
  <si>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</si>
  <si>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</si>
  <si>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</si>
  <si>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</si>
  <si>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</si>
  <si>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</si>
  <si>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</si>
  <si>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</si>
  <si>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</si>
  <si>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</si>
  <si>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</si>
  <si>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</si>
  <si>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</si>
  <si>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</si>
  <si>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</si>
  <si>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</si>
  <si>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</si>
  <si>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</si>
  <si>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</si>
  <si>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</si>
  <si>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</si>
  <si>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</si>
  <si>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</si>
  <si>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</si>
  <si>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</si>
  <si>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</si>
  <si>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</si>
  <si>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</si>
  <si>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</si>
  <si>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</si>
  <si>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</si>
  <si>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</si>
  <si>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</si>
  <si>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</si>
  <si>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</si>
  <si>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</si>
  <si>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</si>
  <si>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</si>
  <si>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</si>
  <si>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</si>
  <si>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</si>
  <si>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</si>
  <si>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</si>
  <si>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</si>
  <si>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</si>
  <si>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</si>
  <si>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</si>
  <si>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</si>
  <si>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</si>
  <si>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</si>
  <si>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</si>
  <si>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</si>
  <si>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</si>
  <si>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</si>
  <si>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</si>
  <si>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</si>
  <si>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</si>
  <si>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</si>
  <si>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</si>
  <si>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</si>
  <si>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</si>
  <si>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</si>
  <si>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</si>
  <si>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</si>
  <si>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</si>
  <si>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</si>
  <si>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</si>
  <si>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</si>
  <si>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</si>
  <si>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</si>
  <si>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</si>
  <si>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</si>
  <si>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</si>
  <si>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</si>
  <si>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</si>
  <si>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</si>
  <si>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</si>
  <si>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</si>
  <si>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</si>
  <si>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</si>
  <si>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</si>
  <si>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</si>
  <si>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</si>
  <si>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</si>
  <si>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</si>
  <si>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</si>
  <si>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</si>
  <si>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</si>
  <si>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</si>
  <si>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</si>
  <si>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</si>
  <si>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</si>
  <si>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</si>
  <si>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</si>
  <si>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</si>
  <si>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</si>
  <si>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</si>
  <si>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</si>
  <si>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</si>
  <si>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</si>
  <si>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</si>
  <si>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</si>
  <si>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</si>
  <si>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</si>
  <si>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</si>
  <si>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</si>
  <si>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</si>
  <si>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</si>
  <si>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</si>
  <si>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</si>
  <si>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</si>
  <si>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</si>
  <si>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</si>
  <si>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</si>
  <si>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</si>
  <si>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</si>
  <si>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</si>
  <si>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</si>
  <si>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</si>
  <si>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</si>
  <si>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</si>
  <si>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</si>
  <si>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</si>
  <si>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</si>
  <si>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</si>
  <si>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</si>
  <si>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</si>
  <si>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</si>
  <si>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</si>
  <si>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</si>
  <si>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</si>
  <si>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</si>
  <si>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</si>
  <si>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</si>
  <si>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</si>
  <si>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</si>
  <si>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</si>
  <si>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</si>
  <si>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</si>
  <si>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</si>
  <si>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</si>
  <si>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</si>
  <si>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</si>
  <si>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</si>
  <si>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</si>
  <si>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</si>
  <si>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</si>
  <si>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</si>
  <si>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</si>
  <si>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</si>
  <si>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</si>
  <si>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</si>
  <si>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</si>
  <si>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</si>
  <si>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</si>
  <si>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</si>
  <si>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</si>
  <si>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</si>
  <si>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</si>
  <si>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</si>
  <si>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</si>
  <si>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</si>
  <si>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</si>
  <si>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</si>
  <si>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</si>
  <si>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</si>
  <si>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</si>
  <si>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</si>
  <si>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</si>
  <si>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</si>
  <si>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</si>
  <si>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</si>
  <si>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</si>
  <si>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</si>
  <si>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</si>
  <si>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</si>
  <si>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</si>
  <si>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</si>
  <si>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</si>
  <si>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</si>
  <si>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</si>
  <si>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</si>
  <si>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</si>
  <si>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</si>
  <si>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</si>
  <si>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</si>
  <si>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</si>
  <si>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</si>
  <si>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</si>
  <si>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</si>
  <si>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</si>
  <si>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</si>
  <si>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</si>
  <si>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</si>
  <si>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</si>
  <si>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</si>
  <si>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</si>
  <si>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</si>
  <si>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</si>
  <si>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</si>
  <si>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</si>
  <si>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</si>
  <si>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</si>
  <si>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</si>
  <si>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</si>
  <si>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</si>
  <si>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</si>
  <si>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</si>
  <si>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</si>
  <si>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</si>
  <si>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</si>
  <si>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</si>
  <si>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</si>
  <si>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</si>
  <si>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</si>
  <si>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</si>
  <si>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</si>
  <si>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</si>
  <si>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</si>
  <si>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</si>
  <si>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</si>
  <si>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</si>
  <si>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</si>
  <si>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</si>
  <si>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</si>
  <si>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</si>
  <si>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</si>
  <si>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</si>
  <si>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</si>
  <si>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</si>
  <si>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</si>
  <si>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</si>
  <si>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</si>
  <si>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</si>
  <si>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</si>
  <si>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</si>
  <si>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</si>
  <si>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</si>
  <si>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</si>
  <si>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</si>
  <si>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</si>
  <si>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</si>
  <si>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</si>
  <si>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</si>
  <si>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</si>
  <si>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</si>
  <si>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</si>
  <si>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</si>
  <si>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</si>
  <si>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</si>
  <si>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</si>
  <si>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</si>
  <si>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</si>
  <si>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</si>
  <si>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</si>
  <si>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</si>
  <si>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</si>
  <si>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</si>
  <si>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</si>
  <si>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</si>
  <si>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</si>
  <si>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</si>
  <si>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</si>
  <si>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</si>
  <si>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</si>
  <si>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</si>
  <si>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</si>
  <si>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</si>
  <si>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</si>
  <si>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</si>
  <si>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</si>
  <si>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</si>
  <si>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</si>
  <si>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</si>
  <si>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</si>
  <si>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</si>
  <si>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</si>
  <si>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</si>
  <si>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</si>
  <si>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</si>
  <si>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</si>
  <si>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</si>
  <si>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</si>
  <si>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</si>
  <si>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</si>
  <si>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</si>
  <si>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</si>
  <si>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</si>
  <si>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</si>
  <si>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</si>
  <si>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</si>
  <si>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</si>
  <si>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</si>
  <si>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</si>
  <si>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</si>
  <si>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</si>
  <si>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</si>
  <si>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</si>
  <si>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</si>
  <si>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</si>
  <si>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</si>
  <si>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</si>
  <si>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</si>
  <si>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</si>
  <si>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</si>
  <si>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</si>
  <si>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</si>
  <si>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</si>
  <si>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</si>
  <si>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</si>
  <si>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</si>
  <si>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</si>
  <si>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</si>
  <si>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</si>
  <si>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</si>
  <si>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</si>
  <si>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</si>
  <si>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</si>
  <si>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</si>
  <si>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</si>
  <si>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</si>
  <si>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</si>
  <si>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</si>
  <si>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</si>
  <si>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</si>
  <si>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</si>
  <si>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</si>
  <si>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</si>
  <si>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</si>
  <si>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</si>
  <si>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</si>
  <si>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</si>
  <si>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</si>
  <si>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</si>
  <si>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</si>
  <si>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</si>
  <si>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</si>
  <si>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</si>
  <si>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</si>
  <si>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</si>
  <si>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</si>
  <si>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</si>
  <si>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</si>
  <si>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</si>
  <si>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</si>
  <si>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</si>
  <si>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</si>
  <si>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</si>
  <si>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</si>
  <si>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</si>
  <si>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</si>
  <si>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</si>
  <si>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</si>
  <si>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</si>
  <si>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</si>
  <si>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</si>
  <si>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</si>
  <si>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</si>
  <si>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</si>
  <si>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</si>
  <si>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</si>
  <si>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</si>
  <si>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</si>
  <si>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</si>
  <si>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</si>
  <si>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</si>
  <si>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</si>
  <si>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</si>
  <si>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</si>
  <si>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</si>
  <si>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</si>
  <si>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</si>
  <si>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</si>
  <si>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</si>
  <si>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</si>
  <si>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</si>
  <si>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</si>
  <si>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</si>
  <si>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</si>
  <si>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</si>
  <si>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</si>
  <si>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</si>
  <si>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</si>
  <si>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</si>
  <si>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</si>
  <si>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</si>
  <si>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</si>
  <si>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</si>
  <si>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</si>
  <si>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</si>
  <si>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</si>
  <si>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</si>
  <si>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</si>
  <si>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</si>
  <si>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</si>
  <si>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</si>
  <si>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</si>
  <si>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</si>
  <si>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</si>
  <si>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</si>
  <si>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</si>
  <si>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</si>
  <si>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</si>
  <si>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</si>
  <si>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</si>
  <si>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</si>
  <si>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</si>
  <si>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</si>
  <si>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</si>
  <si>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</si>
  <si>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</si>
  <si>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</si>
  <si>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</si>
  <si>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</si>
  <si>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</si>
  <si>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</si>
  <si>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</si>
  <si>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</si>
  <si>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</si>
  <si>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</si>
  <si>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</si>
  <si>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</si>
  <si>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</si>
  <si>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</si>
  <si>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</si>
  <si>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</si>
  <si>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</si>
  <si>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</si>
  <si>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</si>
  <si>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</si>
  <si>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</si>
  <si>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</si>
  <si>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</si>
  <si>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</si>
  <si>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</si>
  <si>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</si>
  <si>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</si>
  <si>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</si>
  <si>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</si>
  <si>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</si>
  <si>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</si>
  <si>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</si>
  <si>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</si>
  <si>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</si>
  <si>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</si>
  <si>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</si>
  <si>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</si>
  <si>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</si>
  <si>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</si>
  <si>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</si>
  <si>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</si>
  <si>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</si>
  <si>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</si>
  <si>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</si>
  <si>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</si>
  <si>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</si>
  <si>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</si>
  <si>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</si>
  <si>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</si>
  <si>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</si>
  <si>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</si>
  <si>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</si>
  <si>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</si>
  <si>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</si>
  <si>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</si>
  <si>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</si>
  <si>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</si>
  <si>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</si>
  <si>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</si>
  <si>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</si>
  <si>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</si>
  <si>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</si>
  <si>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</si>
  <si>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</si>
  <si>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</si>
  <si>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</si>
  <si>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</si>
  <si>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</si>
  <si>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</si>
  <si>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</si>
  <si>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</si>
  <si>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</si>
  <si>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</si>
  <si>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</si>
  <si>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</si>
  <si>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</si>
  <si>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</si>
  <si>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</si>
  <si>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</si>
  <si>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</si>
  <si>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</si>
  <si>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</si>
  <si>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</si>
  <si>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</si>
  <si>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</si>
  <si>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</si>
  <si>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</si>
  <si>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</si>
  <si>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</si>
  <si>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</si>
  <si>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</si>
  <si>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</si>
  <si>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</si>
  <si>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</si>
  <si>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</si>
  <si>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</si>
  <si>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</si>
  <si>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</si>
  <si>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</si>
  <si>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</si>
  <si>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</si>
  <si>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</si>
  <si>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</si>
  <si>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</si>
  <si>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</si>
  <si>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</si>
  <si>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</si>
  <si>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</si>
  <si>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</si>
  <si>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</si>
  <si>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</si>
  <si>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</si>
  <si>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</si>
  <si>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</si>
  <si>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</si>
  <si>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</si>
  <si>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</si>
  <si>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</si>
  <si>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</si>
  <si>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</si>
  <si>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</si>
  <si>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</si>
  <si>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</si>
  <si>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</si>
  <si>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</si>
  <si>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</si>
  <si>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</si>
  <si>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</si>
  <si>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</si>
  <si>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</si>
  <si>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</si>
  <si>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</si>
  <si>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</si>
  <si>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</si>
  <si>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</si>
  <si>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</si>
  <si>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</si>
  <si>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</si>
  <si>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</si>
  <si>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</si>
  <si>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</si>
  <si>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</si>
  <si>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</si>
  <si>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</si>
  <si>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</si>
  <si>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</si>
  <si>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</si>
  <si>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</si>
  <si>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</si>
  <si>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</si>
  <si>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</si>
  <si>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</si>
  <si>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</si>
  <si>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</si>
  <si>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</si>
  <si>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</si>
  <si>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</si>
  <si>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</si>
  <si>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</si>
  <si>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</si>
  <si>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</si>
  <si>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</si>
  <si>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</si>
  <si>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</si>
  <si>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</si>
  <si>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</si>
  <si>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</si>
  <si>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</si>
  <si>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</si>
  <si>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</si>
  <si>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</si>
  <si>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</si>
  <si>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</si>
  <si>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</si>
  <si>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</si>
  <si>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</si>
  <si>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</si>
  <si>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</si>
  <si>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</si>
  <si>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</si>
  <si>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</si>
  <si>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</si>
  <si>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</si>
  <si>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</si>
  <si>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</si>
  <si>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</si>
  <si>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</si>
  <si>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</si>
  <si>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</si>
  <si>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</si>
  <si>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</si>
  <si>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</si>
  <si>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</si>
  <si>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</si>
  <si>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</si>
  <si>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</si>
  <si>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</si>
  <si>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</si>
  <si>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</si>
  <si>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</si>
  <si>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</si>
  <si>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</si>
  <si>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</si>
  <si>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</si>
  <si>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</si>
  <si>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</si>
  <si>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</si>
  <si>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</si>
  <si>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</si>
  <si>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</si>
  <si>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</si>
  <si>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</si>
  <si>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</si>
  <si>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</si>
  <si>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</si>
  <si>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</si>
  <si>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</si>
  <si>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</si>
  <si>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</si>
  <si>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</si>
  <si>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</si>
  <si>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</si>
  <si>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</si>
  <si>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</si>
  <si>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</si>
  <si>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</si>
  <si>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</si>
  <si>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</si>
  <si>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</si>
  <si>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</si>
  <si>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</si>
  <si>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</si>
  <si>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</si>
  <si>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</si>
  <si>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</si>
  <si>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</si>
  <si>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</si>
  <si>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</si>
  <si>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</si>
  <si>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</si>
  <si>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</si>
  <si>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</si>
  <si>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</si>
  <si>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</si>
  <si>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</si>
  <si>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</si>
  <si>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</si>
  <si>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</si>
  <si>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</si>
  <si>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</si>
  <si>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</si>
  <si>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</si>
  <si>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</si>
  <si>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</si>
  <si>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</si>
  <si>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</si>
  <si>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</si>
  <si>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</si>
  <si>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</si>
  <si>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</si>
  <si>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</si>
  <si>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</si>
  <si>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</si>
  <si>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</si>
  <si>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</si>
  <si>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</si>
  <si>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</si>
  <si>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</si>
  <si>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</si>
  <si>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</si>
  <si>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</si>
  <si>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</si>
  <si>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</si>
  <si>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</si>
  <si>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</si>
  <si>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</si>
  <si>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</si>
  <si>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</si>
  <si>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</si>
  <si>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</si>
  <si>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</si>
  <si>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</si>
  <si>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</si>
  <si>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</si>
  <si>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</si>
  <si>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</si>
  <si>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</si>
  <si>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</si>
  <si>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</si>
  <si>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</si>
  <si>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</si>
  <si>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</si>
  <si>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</si>
  <si>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</si>
  <si>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</si>
  <si>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</si>
  <si>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</si>
  <si>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</si>
  <si>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</si>
  <si>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</si>
  <si>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</si>
  <si>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</si>
  <si>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</si>
  <si>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</si>
  <si>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</si>
  <si>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</si>
  <si>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</si>
  <si>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</si>
  <si>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</si>
  <si>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</si>
  <si>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</si>
  <si>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</si>
  <si>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</si>
  <si>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</si>
  <si>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</si>
  <si>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</si>
  <si>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</si>
  <si>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</si>
  <si>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</si>
  <si>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</si>
  <si>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</si>
  <si>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</si>
  <si>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</si>
  <si>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</si>
  <si>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</si>
  <si>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</si>
  <si>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</si>
  <si>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</si>
  <si>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</si>
  <si>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</si>
  <si>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</si>
  <si>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</si>
  <si>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</si>
  <si>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</si>
  <si>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</si>
  <si>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</si>
  <si>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</si>
  <si>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</si>
  <si>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</si>
  <si>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</si>
  <si>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</si>
  <si>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</si>
  <si>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</si>
  <si>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</si>
  <si>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</si>
  <si>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</si>
  <si>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</si>
  <si>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</si>
  <si>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</si>
  <si>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</si>
  <si>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</si>
  <si>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</si>
  <si>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</si>
  <si>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</si>
  <si>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</si>
  <si>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</si>
  <si>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</si>
  <si>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</si>
  <si>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</si>
  <si>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</si>
  <si>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</si>
  <si>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</si>
  <si>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</si>
  <si>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</si>
  <si>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</si>
  <si>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</si>
  <si>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</si>
  <si>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</si>
  <si>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</si>
  <si>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</si>
  <si>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</si>
  <si>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</si>
  <si>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</si>
  <si>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</si>
  <si>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</si>
  <si>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</si>
  <si>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</si>
  <si>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</si>
  <si>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</si>
  <si>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</si>
  <si>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</si>
  <si>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</si>
  <si>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</si>
  <si>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</si>
  <si>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</si>
  <si>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</si>
  <si>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</si>
  <si>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</si>
  <si>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</si>
  <si>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</si>
  <si>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</si>
  <si>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</si>
  <si>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</si>
  <si>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</si>
  <si>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</si>
  <si>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</si>
  <si>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</si>
  <si>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</si>
  <si>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</si>
  <si>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</si>
  <si>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</si>
  <si>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</si>
  <si>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</si>
  <si>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</si>
  <si>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</si>
  <si>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</si>
  <si>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</si>
  <si>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</si>
  <si>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</si>
  <si>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</si>
  <si>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</si>
  <si>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</si>
  <si>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</si>
  <si>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</si>
  <si>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</si>
  <si>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</si>
  <si>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</si>
  <si>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</si>
  <si>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</si>
  <si>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</si>
  <si>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</si>
  <si>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</si>
  <si>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</si>
  <si>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</si>
  <si>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</si>
  <si>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</si>
  <si>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</si>
  <si>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</si>
  <si>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</si>
  <si>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</si>
  <si>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</si>
  <si>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</si>
  <si>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</si>
  <si>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</si>
  <si>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</si>
  <si>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</si>
  <si>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</si>
  <si>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</si>
  <si>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</si>
  <si>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</si>
  <si>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</si>
  <si>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</si>
  <si>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</si>
  <si>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</si>
  <si>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</si>
  <si>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</si>
  <si>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</si>
  <si>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</si>
  <si>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</si>
  <si>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</si>
  <si>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</si>
  <si>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</si>
  <si>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</si>
  <si>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</si>
  <si>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</si>
  <si>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</si>
  <si>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</si>
  <si>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</si>
  <si>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</si>
  <si>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</si>
  <si>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</si>
  <si>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</si>
  <si>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</si>
  <si>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</si>
  <si>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</si>
  <si>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</si>
  <si>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</si>
  <si>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</si>
  <si>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</si>
  <si>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</si>
  <si>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</si>
  <si>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</si>
  <si>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</si>
  <si>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</si>
  <si>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</si>
  <si>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</si>
  <si>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</si>
  <si>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</si>
  <si>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</si>
  <si>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</si>
  <si>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</si>
  <si>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</si>
  <si>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</si>
  <si>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</si>
  <si>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</si>
  <si>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</si>
  <si>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</si>
  <si>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</si>
  <si>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</si>
  <si>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</si>
  <si>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</si>
  <si>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</si>
  <si>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</si>
  <si>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</si>
  <si>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</si>
  <si>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</si>
  <si>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</si>
  <si>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</si>
  <si>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</si>
  <si>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</si>
  <si>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</si>
  <si>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</si>
  <si>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</si>
  <si>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</si>
  <si>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</si>
  <si>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</si>
  <si>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</si>
  <si>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</si>
  <si>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</si>
  <si>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</si>
  <si>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</si>
  <si>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</si>
  <si>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</si>
  <si>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</si>
  <si>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</si>
  <si>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</si>
  <si>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</si>
  <si>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</si>
  <si>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</si>
  <si>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</si>
  <si>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</si>
  <si>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</si>
  <si>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</si>
  <si>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</si>
  <si>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</si>
  <si>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</si>
  <si>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</si>
  <si>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</si>
  <si>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</si>
  <si>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</si>
  <si>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</si>
  <si>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</si>
  <si>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</si>
  <si>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</si>
  <si>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</si>
  <si>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</si>
  <si>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</si>
  <si>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</si>
  <si>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</si>
  <si>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</si>
  <si>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</si>
  <si>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</si>
  <si>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</si>
  <si>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</si>
  <si>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</si>
  <si>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</si>
  <si>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</si>
  <si>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</si>
  <si>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</si>
  <si>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</si>
  <si>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</si>
  <si>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</si>
  <si>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</si>
  <si>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</si>
  <si>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</si>
  <si>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</si>
  <si>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</si>
  <si>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</si>
  <si>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</si>
  <si>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</si>
  <si>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</si>
  <si>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</si>
  <si>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</si>
  <si>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</si>
  <si>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</si>
  <si>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</si>
  <si>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</si>
  <si>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</si>
  <si>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</si>
  <si>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</si>
  <si>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</si>
  <si>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</si>
  <si>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</si>
  <si>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</si>
  <si>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</si>
  <si>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</si>
  <si>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</si>
  <si>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</si>
  <si>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</si>
  <si>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</si>
  <si>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</si>
  <si>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</si>
  <si>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</si>
  <si>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</si>
  <si>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</si>
  <si>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</si>
  <si>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</si>
  <si>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</si>
  <si>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</si>
  <si>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</si>
  <si>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</si>
  <si>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</si>
  <si>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</si>
  <si>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</si>
  <si>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</si>
  <si>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</si>
  <si>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</si>
  <si>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</si>
  <si>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</si>
  <si>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</si>
  <si>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</si>
  <si>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</si>
  <si>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</si>
  <si>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</si>
  <si>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</si>
  <si>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</si>
  <si>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</si>
  <si>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</si>
  <si>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</si>
  <si>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</si>
  <si>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</si>
  <si>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</si>
  <si>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</si>
  <si>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</si>
  <si>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</si>
  <si>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</si>
  <si>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</si>
  <si>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</si>
  <si>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</si>
  <si>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</si>
  <si>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</si>
  <si>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</si>
  <si>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</si>
  <si>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</si>
  <si>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</si>
  <si>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</si>
  <si>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</si>
  <si>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</si>
  <si>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</si>
  <si>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</si>
  <si>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</si>
  <si>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</si>
  <si>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</si>
  <si>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</si>
  <si>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</si>
  <si>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</si>
  <si>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</si>
  <si>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</si>
  <si>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</si>
  <si>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</si>
  <si>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</si>
  <si>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</si>
  <si>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</si>
  <si>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</si>
  <si>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</si>
  <si>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</si>
  <si>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</si>
  <si>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</si>
  <si>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</si>
  <si>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</si>
  <si>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</si>
  <si>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</si>
  <si>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</si>
  <si>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</si>
  <si>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</si>
  <si>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</si>
  <si>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</si>
  <si>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</si>
  <si>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</si>
  <si>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</si>
  <si>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</si>
  <si>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</si>
  <si>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</si>
  <si>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</si>
  <si>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</si>
  <si>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</si>
  <si>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</si>
  <si>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</si>
  <si>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</si>
  <si>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</si>
  <si>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</si>
  <si>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</si>
  <si>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</si>
  <si>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</si>
  <si>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</si>
  <si>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</si>
  <si>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</si>
  <si>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</si>
  <si>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</si>
  <si>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</si>
  <si>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</si>
  <si>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</si>
  <si>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</si>
  <si>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</si>
  <si>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</si>
  <si>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</si>
  <si>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</si>
  <si>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</si>
  <si>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</si>
  <si>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</si>
  <si>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</si>
  <si>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</si>
  <si>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</si>
  <si>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</si>
  <si>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</si>
  <si>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</si>
  <si>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</si>
  <si>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</si>
  <si>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</si>
  <si>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</si>
  <si>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</si>
  <si>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</si>
  <si>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</si>
  <si>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</si>
  <si>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</si>
  <si>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</si>
  <si>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</si>
  <si>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</si>
  <si>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</si>
  <si>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</si>
  <si>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</si>
  <si>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</si>
  <si>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</si>
  <si>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</si>
  <si>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</si>
  <si>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</si>
  <si>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</si>
  <si>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</si>
  <si>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</si>
  <si>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</si>
  <si>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</si>
  <si>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</si>
  <si>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</si>
  <si>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</si>
  <si>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</si>
  <si>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</si>
  <si>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</si>
  <si>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</si>
  <si>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</si>
  <si>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</si>
  <si>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</si>
  <si>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</si>
  <si>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</si>
  <si>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</si>
  <si>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</si>
  <si>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</si>
  <si>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</si>
  <si>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</si>
  <si>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</si>
  <si>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</si>
  <si>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</si>
  <si>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</si>
  <si>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</si>
  <si>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</si>
  <si>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</si>
  <si>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</si>
  <si>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</si>
  <si>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</si>
  <si>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</si>
  <si>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</si>
  <si>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</si>
  <si>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</si>
  <si>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</si>
  <si>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</si>
  <si>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</si>
  <si>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</si>
  <si>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</si>
  <si>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</si>
  <si>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</si>
  <si>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</si>
  <si>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</si>
  <si>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</si>
  <si>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</si>
  <si>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</si>
  <si>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</si>
  <si>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</si>
  <si>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</si>
  <si>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</si>
  <si>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</si>
  <si>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</si>
  <si>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</si>
  <si>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</si>
  <si>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</si>
  <si>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</si>
  <si>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</si>
  <si>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</si>
  <si>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</si>
  <si>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</si>
  <si>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</si>
  <si>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</si>
  <si>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</si>
  <si>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</si>
  <si>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</si>
  <si>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</si>
  <si>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</si>
  <si>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</si>
  <si>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</si>
  <si>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</si>
  <si>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</si>
  <si>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</si>
  <si>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</si>
  <si>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</si>
  <si>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</si>
  <si>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</si>
  <si>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</si>
  <si>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</si>
  <si>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</si>
  <si>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</si>
  <si>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</si>
  <si>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</si>
  <si>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</si>
  <si>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</si>
  <si>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</si>
  <si>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</si>
  <si>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</si>
  <si>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</si>
  <si>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</si>
  <si>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</si>
  <si>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</si>
  <si>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</si>
  <si>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</si>
  <si>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</si>
  <si>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</si>
  <si>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</si>
  <si>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</si>
  <si>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</si>
  <si>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</si>
  <si>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</si>
  <si>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</si>
  <si>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</si>
  <si>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</si>
  <si>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</si>
  <si>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</si>
  <si>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</si>
  <si>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</si>
  <si>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</si>
  <si>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</si>
  <si>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</si>
  <si>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</si>
  <si>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</si>
  <si>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</si>
  <si>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</si>
  <si>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</si>
  <si>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</si>
  <si>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</si>
  <si>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</si>
  <si>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</si>
  <si>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</si>
  <si>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</si>
  <si>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</si>
  <si>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</si>
  <si>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</si>
  <si>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</si>
  <si>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</si>
  <si>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</si>
  <si>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</si>
  <si>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</si>
  <si>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</si>
  <si>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</si>
  <si>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</si>
  <si>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</si>
  <si>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</si>
  <si>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</si>
  <si>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</si>
  <si>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</si>
  <si>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</si>
  <si>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</si>
  <si>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</si>
  <si>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</si>
  <si>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</si>
  <si>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</si>
  <si>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</si>
  <si>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</si>
  <si>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</si>
  <si>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</si>
  <si>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</si>
  <si>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</si>
  <si>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</si>
  <si>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</si>
  <si>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</si>
  <si>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</si>
  <si>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</si>
  <si>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</si>
  <si>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</si>
  <si>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</si>
  <si>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</si>
  <si>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</si>
  <si>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</si>
  <si>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</si>
  <si>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</si>
  <si>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</si>
  <si>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</si>
  <si>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</si>
  <si>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</si>
  <si>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</si>
  <si>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</si>
  <si>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</si>
  <si>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</si>
  <si>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</si>
  <si>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</si>
  <si>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</si>
  <si>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</si>
  <si>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</si>
  <si>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</si>
  <si>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</si>
  <si>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</si>
  <si>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</si>
  <si>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</si>
  <si>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</si>
  <si>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</si>
  <si>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</si>
  <si>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</si>
  <si>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</si>
  <si>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</si>
  <si>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</si>
  <si>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</si>
  <si>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</si>
  <si>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</si>
  <si>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</si>
  <si>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</si>
  <si>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</si>
  <si>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</si>
  <si>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</si>
  <si>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</si>
  <si>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</si>
  <si>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</si>
  <si>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</si>
  <si>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</si>
  <si>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</si>
  <si>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</si>
  <si>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</si>
  <si>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</si>
  <si>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</si>
  <si>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</si>
  <si>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</si>
  <si>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</si>
  <si>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</si>
  <si>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</si>
  <si>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</si>
  <si>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</si>
  <si>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</si>
  <si>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</si>
  <si>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</si>
  <si>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</si>
  <si>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</si>
  <si>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</si>
  <si>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</si>
  <si>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</si>
  <si>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</si>
  <si>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</si>
  <si>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</si>
  <si>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</si>
  <si>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</si>
  <si>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</si>
  <si>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</si>
  <si>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</si>
  <si>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</si>
  <si>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</si>
  <si>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</si>
  <si>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</si>
  <si>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</si>
  <si>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</si>
  <si>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</si>
  <si>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</si>
  <si>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</si>
  <si>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</si>
  <si>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</si>
  <si>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</si>
  <si>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</si>
  <si>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</si>
  <si>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</si>
  <si>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</si>
  <si>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</si>
  <si>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</si>
  <si>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</si>
  <si>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</si>
  <si>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</si>
  <si>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</si>
  <si>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</si>
  <si>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</si>
  <si>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</si>
  <si>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</si>
  <si>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</si>
  <si>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</si>
  <si>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</si>
  <si>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</si>
  <si>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</si>
  <si>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</si>
  <si>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</si>
  <si>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</si>
  <si>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</si>
  <si>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</si>
  <si>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</si>
  <si>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</si>
  <si>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</si>
  <si>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</si>
  <si>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</si>
  <si>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</si>
  <si>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</si>
  <si>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</si>
  <si>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</si>
  <si>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</si>
  <si>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</si>
  <si>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</si>
  <si>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</si>
  <si>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</si>
  <si>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</si>
  <si>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</si>
  <si>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</si>
  <si>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</si>
  <si>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</si>
  <si>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</si>
  <si>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</si>
  <si>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</si>
  <si>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</si>
  <si>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</si>
  <si>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</si>
  <si>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</si>
  <si>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</si>
  <si>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</si>
  <si>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</si>
  <si>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</si>
  <si>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</si>
  <si>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</si>
  <si>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</si>
  <si>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</si>
  <si>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</si>
  <si>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</si>
  <si>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</si>
  <si>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</si>
  <si>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</si>
  <si>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</si>
  <si>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</si>
  <si>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</si>
  <si>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</si>
  <si>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</si>
  <si>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</si>
  <si>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</si>
  <si>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</si>
  <si>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</si>
  <si>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</si>
  <si>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</si>
  <si>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</si>
  <si>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</si>
  <si>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</si>
  <si>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</si>
  <si>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</si>
  <si>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</si>
  <si>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</si>
  <si>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</si>
  <si>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</si>
  <si>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</si>
  <si>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</si>
  <si>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</si>
  <si>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</si>
  <si>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</si>
  <si>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</si>
  <si>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</si>
  <si>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</si>
  <si>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</si>
  <si>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</si>
  <si>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</si>
  <si>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</si>
  <si>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</si>
  <si>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</si>
  <si>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</si>
  <si>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</si>
  <si>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</si>
  <si>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</si>
  <si>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</si>
  <si>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</si>
  <si>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</si>
  <si>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</si>
  <si>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</si>
  <si>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</si>
  <si>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</si>
  <si>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</si>
  <si>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</si>
  <si>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</si>
  <si>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</si>
  <si>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</si>
  <si>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</si>
  <si>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</si>
  <si>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</si>
  <si>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</si>
  <si>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</si>
  <si>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</si>
  <si>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</si>
  <si>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</si>
  <si>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</si>
  <si>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</si>
  <si>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</si>
  <si>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</si>
  <si>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</si>
  <si>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</si>
  <si>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</si>
  <si>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</si>
  <si>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</si>
  <si>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</si>
  <si>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</si>
  <si>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</si>
  <si>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</si>
  <si>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</si>
  <si>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</si>
  <si>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</si>
  <si>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</si>
  <si>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</si>
  <si>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</si>
  <si>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</si>
  <si>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</si>
  <si>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</si>
  <si>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</si>
  <si>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</si>
  <si>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</si>
  <si>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</si>
  <si>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</si>
  <si>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</si>
  <si>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</si>
  <si>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</si>
  <si>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</si>
  <si>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</si>
  <si>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</si>
  <si>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</si>
  <si>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</si>
  <si>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</si>
  <si>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</si>
  <si>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</si>
  <si>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</si>
  <si>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</si>
  <si>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</si>
  <si>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</si>
  <si>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</si>
  <si>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</si>
  <si>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</si>
  <si>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</si>
  <si>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</si>
  <si>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</si>
  <si>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</si>
  <si>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</si>
  <si>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</si>
  <si>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</si>
  <si>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</si>
  <si>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</si>
  <si>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</si>
  <si>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</si>
  <si>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</si>
  <si>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</si>
  <si>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</si>
  <si>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</si>
  <si>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</si>
  <si>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</si>
  <si>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</si>
  <si>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</si>
  <si>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</si>
  <si>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</si>
  <si>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</si>
  <si>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</si>
  <si>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</si>
  <si>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</si>
  <si>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</si>
  <si>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</si>
  <si>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</si>
  <si>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</si>
  <si>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</si>
  <si>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</si>
  <si>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</si>
  <si>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</si>
  <si>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</si>
  <si>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</si>
  <si>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</si>
  <si>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</si>
  <si>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</si>
  <si>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</si>
  <si>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</si>
  <si>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</si>
  <si>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</si>
  <si>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</si>
  <si>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</si>
  <si>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</si>
  <si>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</si>
  <si>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</si>
  <si>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</si>
  <si>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</si>
  <si>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</si>
  <si>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</si>
  <si>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</si>
  <si>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</si>
  <si>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</si>
  <si>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</si>
  <si>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</si>
  <si>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</si>
  <si>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</si>
  <si>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</si>
  <si>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</si>
  <si>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</si>
  <si>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</si>
  <si>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</si>
  <si>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</si>
  <si>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</si>
  <si>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</si>
  <si>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</si>
  <si>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</si>
  <si>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</si>
  <si>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</si>
  <si>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</si>
  <si>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</si>
  <si>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</si>
  <si>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</si>
  <si>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</si>
  <si>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</si>
  <si>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</si>
  <si>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</si>
  <si>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</si>
  <si>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</si>
  <si>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</si>
  <si>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</si>
  <si>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</si>
  <si>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</si>
  <si>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</si>
  <si>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</si>
  <si>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</si>
  <si>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</si>
  <si>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</si>
  <si>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</si>
  <si>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</si>
  <si>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</si>
  <si>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</si>
  <si>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</si>
  <si>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</si>
  <si>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</si>
  <si>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</si>
  <si>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</si>
  <si>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</si>
  <si>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</si>
  <si>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</si>
  <si>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</si>
  <si>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</si>
  <si>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</si>
  <si>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</si>
  <si>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</si>
  <si>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</si>
  <si>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</si>
  <si>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</si>
  <si>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</si>
  <si>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</si>
  <si>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</si>
  <si>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</si>
  <si>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</si>
  <si>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</si>
  <si>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</si>
  <si>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</si>
  <si>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</si>
  <si>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</si>
  <si>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</si>
  <si>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</si>
  <si>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</si>
  <si>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</si>
  <si>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</si>
  <si>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</si>
  <si>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</si>
  <si>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</si>
  <si>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</si>
  <si>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</si>
  <si>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</si>
  <si>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</si>
  <si>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</si>
  <si>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</si>
  <si>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</si>
  <si>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</si>
  <si>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</si>
  <si>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</si>
  <si>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</si>
  <si>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</si>
  <si>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</si>
  <si>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</si>
  <si>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</si>
  <si>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</si>
  <si>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</si>
  <si>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</si>
  <si>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</si>
  <si>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</si>
  <si>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</si>
  <si>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</si>
  <si>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</si>
  <si>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</si>
  <si>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</si>
  <si>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</si>
  <si>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</si>
  <si>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</si>
  <si>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</si>
  <si>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</si>
  <si>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</si>
  <si>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</si>
  <si>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</si>
  <si>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</si>
  <si>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</si>
  <si>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</si>
  <si>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</si>
  <si>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</si>
  <si>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</si>
  <si>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</si>
  <si>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</si>
  <si>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</si>
  <si>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</si>
  <si>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</si>
  <si>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</si>
  <si>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</si>
  <si>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</si>
  <si>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</si>
  <si>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</si>
  <si>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</si>
  <si>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</si>
  <si>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</si>
  <si>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</si>
  <si>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</si>
  <si>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</si>
  <si>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</si>
  <si>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</si>
  <si>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</si>
  <si>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</si>
  <si>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</si>
  <si>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</si>
  <si>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</si>
  <si>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</si>
  <si>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</si>
  <si>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</si>
  <si>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</si>
  <si>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</si>
  <si>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</si>
  <si>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</si>
  <si>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</si>
  <si>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</si>
  <si>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</si>
  <si>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</si>
  <si>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</si>
  <si>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</si>
  <si>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</si>
  <si>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</si>
  <si>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</si>
  <si>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</si>
  <si>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</si>
  <si>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</si>
  <si>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</si>
  <si>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</si>
  <si>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</si>
  <si>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</si>
  <si>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</si>
  <si>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</si>
  <si>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</si>
  <si>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</si>
  <si>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</si>
  <si>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</si>
  <si>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</si>
  <si>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</si>
  <si>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</si>
  <si>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</si>
  <si>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</si>
  <si>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</si>
  <si>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</si>
  <si>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</si>
  <si>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</si>
  <si>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</si>
  <si>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</si>
  <si>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</si>
  <si>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</si>
  <si>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</si>
  <si>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</si>
  <si>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</si>
  <si>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</si>
  <si>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</si>
  <si>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</si>
  <si>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</si>
  <si>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</si>
  <si>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</si>
  <si>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</si>
  <si>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</si>
  <si>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</si>
  <si>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</si>
  <si>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</si>
  <si>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</si>
  <si>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</si>
  <si>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</si>
  <si>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</si>
  <si>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</si>
  <si>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</si>
  <si>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</si>
  <si>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</si>
  <si>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</si>
  <si>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</si>
  <si>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</si>
  <si>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</si>
  <si>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</si>
  <si>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</si>
  <si>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</si>
  <si>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</si>
  <si>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</si>
  <si>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</si>
  <si>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</si>
  <si>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</si>
  <si>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</si>
  <si>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</si>
  <si>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</si>
  <si>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</si>
  <si>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</si>
  <si>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</si>
  <si>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</si>
  <si>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</si>
  <si>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</si>
  <si>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</si>
  <si>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</si>
  <si>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</si>
  <si>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</si>
  <si>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</si>
  <si>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</si>
  <si>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</si>
  <si>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</si>
  <si>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</si>
  <si>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</si>
  <si>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</si>
  <si>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</si>
  <si>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</si>
  <si>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</si>
  <si>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</si>
  <si>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</si>
  <si>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</si>
  <si>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</si>
  <si>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</si>
  <si>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</si>
  <si>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</si>
  <si>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</si>
  <si>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</si>
  <si>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</si>
  <si>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</si>
  <si>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</si>
  <si>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</si>
  <si>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</si>
  <si>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</si>
  <si>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</si>
  <si>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</si>
  <si>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</si>
  <si>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</si>
  <si>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</si>
  <si>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</si>
  <si>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</si>
  <si>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</si>
  <si>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</si>
  <si>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</si>
  <si>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</si>
  <si>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</si>
  <si>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</si>
  <si>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</si>
  <si>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</si>
  <si>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</si>
  <si>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</si>
  <si>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</si>
  <si>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</si>
  <si>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</si>
  <si>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</si>
  <si>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</si>
  <si>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</si>
  <si>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</si>
  <si>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</si>
  <si>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</si>
  <si>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</si>
  <si>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</si>
  <si>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</si>
  <si>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</si>
  <si>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</si>
  <si>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</si>
  <si>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</si>
  <si>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</si>
  <si>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</si>
  <si>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</si>
  <si>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</si>
  <si>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</si>
  <si>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</si>
  <si>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</si>
  <si>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</si>
  <si>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</si>
  <si>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</si>
  <si>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</si>
  <si>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</si>
  <si>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</si>
  <si>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</si>
  <si>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</si>
  <si>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</si>
  <si>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</si>
  <si>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</si>
  <si>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</si>
  <si>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</si>
  <si>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</si>
  <si>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</si>
  <si>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</si>
  <si>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</si>
  <si>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</si>
  <si>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</si>
  <si>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</si>
  <si>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</si>
  <si>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</si>
  <si>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</si>
  <si>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</si>
  <si>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</si>
  <si>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</si>
  <si>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</si>
  <si>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</si>
  <si>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</si>
  <si>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</si>
  <si>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</si>
  <si>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</si>
  <si>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</si>
  <si>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</si>
  <si>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</si>
  <si>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</si>
  <si>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</si>
  <si>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</si>
  <si>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</si>
  <si>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</si>
  <si>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</si>
  <si>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</si>
  <si>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</si>
  <si>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</si>
  <si>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</si>
  <si>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</si>
  <si>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</si>
  <si>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</si>
  <si>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</si>
  <si>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</si>
  <si>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</si>
  <si>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</si>
  <si>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</si>
  <si>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</si>
  <si>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</si>
  <si>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</si>
  <si>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</si>
  <si>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</si>
  <si>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</si>
  <si>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</si>
  <si>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</si>
  <si>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</si>
  <si>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</si>
  <si>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</si>
  <si>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</si>
  <si>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</si>
  <si>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</si>
  <si>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</si>
  <si>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</si>
  <si>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</si>
  <si>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</si>
  <si>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</si>
  <si>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</si>
  <si>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</si>
  <si>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</si>
  <si>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</si>
  <si>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</si>
  <si>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</si>
  <si>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</si>
  <si>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</si>
  <si>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</si>
  <si>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</si>
  <si>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</si>
  <si>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</si>
  <si>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</si>
  <si>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</si>
  <si>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</si>
  <si>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</si>
  <si>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</si>
  <si>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</si>
  <si>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</si>
  <si>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</si>
  <si>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</si>
  <si>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</si>
  <si>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</si>
  <si>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</si>
  <si>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</si>
  <si>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</si>
  <si>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</si>
  <si>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</si>
  <si>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</si>
  <si>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</si>
  <si>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</si>
  <si>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</si>
  <si>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</si>
  <si>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</si>
  <si>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</si>
  <si>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</si>
  <si>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</si>
  <si>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</si>
  <si>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</si>
  <si>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</si>
  <si>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</si>
  <si>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</si>
  <si>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</si>
  <si>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</si>
  <si>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</si>
  <si>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</si>
  <si>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</si>
  <si>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</si>
  <si>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</si>
  <si>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</si>
  <si>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</si>
  <si>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</si>
  <si>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</si>
  <si>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</si>
  <si>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</si>
  <si>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</si>
  <si>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</si>
  <si>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</si>
  <si>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</si>
  <si>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</si>
  <si>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</si>
  <si>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</si>
  <si>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</si>
  <si>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</si>
  <si>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</si>
  <si>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</si>
  <si>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</si>
  <si>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</si>
  <si>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</si>
  <si>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</si>
  <si>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</si>
  <si>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</si>
  <si>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</si>
  <si>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</si>
  <si>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</si>
  <si>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</si>
  <si>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</si>
  <si>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</si>
  <si>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</si>
  <si>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</si>
  <si>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</si>
  <si>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</si>
  <si>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</si>
  <si>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</si>
  <si>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</si>
  <si>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</si>
  <si>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</si>
  <si>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</si>
  <si>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</si>
  <si>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</si>
  <si>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</si>
  <si>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</si>
  <si>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</si>
  <si>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</si>
  <si>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</si>
  <si>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</si>
  <si>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</si>
  <si>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</si>
  <si>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</si>
  <si>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</si>
  <si>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</si>
  <si>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</si>
  <si>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</si>
  <si>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</si>
  <si>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</si>
  <si>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</si>
  <si>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</si>
  <si>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</si>
  <si>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</si>
  <si>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</si>
  <si>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</si>
  <si>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</si>
  <si>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</si>
  <si>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</si>
  <si>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</si>
  <si>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</si>
  <si>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</si>
  <si>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</si>
  <si>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</si>
  <si>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</si>
  <si>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</si>
  <si>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</si>
  <si>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</si>
  <si>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</si>
  <si>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</si>
  <si>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</si>
  <si>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</si>
  <si>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</si>
  <si>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</si>
  <si>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</si>
  <si>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</si>
  <si>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</si>
  <si>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</si>
  <si>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</si>
  <si>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</si>
  <si>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</si>
  <si>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</si>
  <si>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</si>
  <si>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</si>
  <si>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</si>
  <si>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</si>
  <si>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</si>
  <si>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</si>
  <si>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</si>
  <si>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</si>
  <si>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</si>
  <si>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</si>
  <si>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</si>
  <si>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</si>
  <si>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</si>
  <si>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</si>
  <si>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</si>
  <si>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</si>
  <si>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</si>
  <si>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</si>
  <si>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</si>
  <si>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</si>
  <si>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</si>
  <si>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</si>
  <si>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</si>
  <si>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</si>
  <si>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</si>
  <si>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</si>
  <si>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</si>
  <si>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</si>
  <si>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</si>
  <si>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</si>
  <si>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</si>
  <si>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</si>
  <si>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</si>
  <si>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</si>
  <si>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</si>
  <si>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</si>
  <si>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</si>
  <si>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</si>
  <si>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</si>
  <si>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</si>
  <si>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</si>
  <si>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</si>
  <si>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</si>
  <si>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</si>
  <si>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</si>
  <si>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</si>
  <si>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</si>
  <si>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</si>
  <si>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</si>
  <si>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</si>
  <si>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</si>
  <si>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</si>
  <si>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</si>
  <si>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</si>
  <si>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</si>
  <si>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</si>
  <si>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</si>
  <si>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</si>
  <si>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</si>
  <si>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</si>
  <si>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</si>
  <si>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</si>
  <si>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</si>
  <si>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</si>
  <si>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</si>
  <si>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</si>
  <si>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</si>
  <si>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</si>
  <si>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</si>
  <si>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</si>
  <si>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</si>
  <si>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</si>
  <si>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</si>
  <si>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</si>
  <si>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</si>
  <si>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</si>
  <si>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</si>
  <si>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</si>
  <si>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</si>
  <si>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</si>
  <si>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</si>
  <si>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</si>
  <si>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</si>
  <si>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</si>
  <si>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</si>
  <si>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</si>
  <si>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</si>
  <si>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</si>
  <si>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</si>
  <si>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</si>
  <si>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</si>
  <si>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</si>
  <si>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</si>
  <si>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</si>
  <si>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</si>
  <si>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</si>
  <si>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</si>
  <si>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</si>
  <si>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</si>
  <si>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</si>
  <si>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</si>
  <si>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</si>
  <si>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</si>
  <si>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</si>
  <si>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</si>
  <si>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</si>
  <si>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</si>
  <si>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</si>
  <si>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</si>
  <si>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</si>
  <si>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</si>
  <si>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</si>
  <si>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</si>
  <si>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</si>
  <si>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</si>
  <si>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</si>
  <si>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</si>
  <si>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</si>
  <si>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</si>
  <si>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</si>
  <si>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</si>
  <si>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</si>
  <si>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</si>
  <si>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</si>
  <si>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</si>
  <si>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</si>
  <si>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</si>
  <si>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</si>
  <si>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</si>
  <si>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</si>
  <si>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</si>
  <si>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</si>
  <si>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</si>
  <si>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</si>
  <si>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</si>
  <si>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</si>
  <si>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</si>
  <si>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</si>
  <si>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</si>
  <si>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</si>
  <si>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</si>
  <si>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</si>
  <si>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</si>
  <si>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</si>
  <si>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</si>
  <si>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</si>
  <si>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</si>
  <si>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</si>
  <si>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</si>
  <si>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</si>
  <si>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</si>
  <si>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</si>
  <si>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</si>
  <si>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</si>
  <si>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</si>
  <si>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</si>
  <si>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</si>
  <si>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</si>
  <si>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</si>
  <si>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</si>
  <si>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</si>
  <si>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</si>
  <si>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</si>
  <si>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</si>
  <si>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</si>
  <si>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</si>
  <si>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</si>
  <si>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</si>
  <si>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</si>
  <si>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</si>
  <si>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</si>
  <si>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</si>
  <si>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</si>
  <si>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</si>
  <si>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</si>
  <si>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</si>
  <si>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</si>
  <si>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</si>
  <si>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</si>
  <si>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</si>
  <si>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</si>
  <si>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</si>
  <si>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</si>
  <si>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</si>
  <si>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</si>
  <si>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</si>
  <si>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</si>
  <si>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</si>
  <si>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</si>
  <si>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</si>
  <si>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</si>
  <si>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</si>
  <si>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</si>
  <si>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</si>
  <si>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</si>
  <si>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</si>
  <si>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</si>
  <si>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</si>
  <si>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</si>
  <si>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</si>
  <si>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</si>
  <si>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</si>
  <si>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</si>
  <si>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</si>
  <si>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</si>
  <si>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</si>
  <si>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</si>
  <si>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</si>
  <si>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</si>
  <si>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</si>
  <si>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</si>
  <si>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</si>
  <si>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</si>
  <si>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</si>
  <si>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</si>
  <si>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</si>
  <si>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</si>
  <si>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</si>
  <si>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</si>
  <si>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</si>
  <si>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</si>
  <si>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</si>
  <si>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</si>
  <si>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</si>
  <si>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</si>
  <si>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</si>
  <si>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</si>
  <si>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</si>
  <si>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</si>
  <si>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</si>
  <si>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</si>
  <si>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</si>
  <si>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</si>
  <si>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</si>
  <si>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</si>
  <si>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</si>
  <si>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</si>
  <si>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</si>
  <si>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</si>
  <si>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</si>
  <si>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</si>
  <si>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</si>
  <si>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</si>
  <si>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</si>
  <si>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</si>
  <si>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</si>
  <si>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</si>
  <si>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</si>
  <si>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</si>
  <si>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</si>
  <si>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</si>
  <si>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</si>
  <si>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</si>
  <si>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</si>
  <si>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</si>
  <si>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</si>
  <si>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</si>
  <si>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</si>
  <si>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</si>
  <si>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</si>
  <si>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</si>
  <si>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</si>
  <si>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</si>
  <si>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</si>
  <si>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</si>
  <si>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</si>
  <si>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</si>
  <si>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</si>
  <si>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</si>
  <si>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</si>
  <si>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</si>
  <si>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</si>
  <si>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</si>
  <si>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</si>
  <si>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</si>
  <si>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</si>
  <si>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</si>
  <si>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</si>
  <si>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</si>
  <si>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</si>
  <si>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</si>
  <si>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</si>
  <si>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</si>
  <si>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</si>
  <si>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</si>
  <si>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</si>
  <si>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</si>
  <si>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</si>
  <si>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</si>
  <si>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</si>
  <si>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</si>
  <si>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</si>
  <si>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</si>
  <si>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</si>
  <si>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</si>
  <si>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</si>
  <si>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</si>
  <si>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</si>
  <si>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</si>
  <si>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</si>
  <si>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</si>
  <si>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</si>
  <si>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</si>
  <si>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</si>
  <si>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</si>
  <si>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</si>
  <si>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</si>
  <si>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</si>
  <si>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</si>
  <si>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</si>
  <si>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</si>
  <si>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</si>
  <si>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</si>
  <si>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</si>
  <si>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</si>
  <si>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</si>
  <si>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</si>
  <si>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</si>
  <si>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</si>
  <si>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</si>
  <si>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</si>
  <si>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</si>
  <si>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</si>
  <si>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</si>
  <si>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</si>
  <si>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</si>
  <si>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</si>
  <si>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</si>
  <si>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</si>
  <si>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</si>
  <si>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</si>
  <si>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</si>
  <si>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</si>
  <si>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</si>
  <si>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</si>
  <si>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</si>
  <si>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</si>
  <si>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</si>
  <si>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</si>
  <si>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</si>
  <si>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</si>
  <si>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</si>
  <si>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</si>
  <si>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</si>
  <si>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</si>
  <si>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</si>
  <si>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</si>
  <si>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</si>
  <si>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</si>
  <si>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</si>
  <si>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</si>
  <si>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</si>
  <si>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</si>
  <si>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</si>
  <si>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</si>
  <si>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</si>
  <si>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</si>
  <si>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</si>
  <si>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</si>
  <si>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</si>
  <si>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</si>
  <si>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</si>
  <si>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</si>
  <si>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</si>
  <si>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</si>
  <si>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</si>
  <si>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</si>
  <si>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</si>
  <si>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</si>
  <si>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</si>
  <si>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</si>
  <si>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</si>
  <si>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</si>
  <si>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</si>
  <si>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</si>
  <si>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</si>
  <si>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</si>
  <si>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</si>
  <si>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</si>
  <si>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</si>
  <si>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</si>
  <si>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</si>
  <si>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</si>
  <si>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</si>
  <si>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</si>
  <si>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</si>
  <si>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</si>
  <si>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</si>
  <si>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</si>
  <si>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</si>
  <si>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</si>
  <si>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</si>
  <si>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</si>
  <si>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</si>
  <si>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</si>
  <si>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</si>
  <si>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</si>
  <si>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</si>
  <si>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</si>
  <si>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</si>
  <si>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</si>
  <si>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</si>
  <si>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</si>
  <si>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</si>
  <si>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</si>
  <si>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</si>
  <si>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</si>
  <si>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</si>
  <si>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</si>
  <si>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</si>
  <si>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</si>
  <si>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</si>
  <si>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</si>
  <si>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</si>
  <si>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</si>
  <si>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</si>
  <si>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</si>
  <si>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</si>
  <si>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</si>
  <si>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</si>
  <si>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</si>
  <si>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</si>
  <si>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</si>
  <si>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</si>
  <si>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</si>
  <si>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</si>
  <si>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</si>
  <si>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</si>
  <si>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</si>
  <si>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</si>
  <si>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</si>
  <si>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</si>
  <si>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</si>
  <si>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</si>
  <si>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</si>
  <si>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</si>
  <si>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</si>
  <si>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</si>
  <si>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</si>
  <si>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</si>
  <si>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</si>
  <si>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</si>
  <si>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</si>
  <si>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</si>
  <si>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</si>
  <si>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</si>
  <si>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</si>
  <si>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</si>
  <si>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</si>
  <si>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</si>
  <si>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</si>
  <si>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</si>
  <si>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</si>
  <si>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</si>
  <si>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</si>
  <si>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</si>
  <si>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</si>
  <si>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</si>
  <si>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</si>
  <si>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</si>
  <si>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</si>
  <si>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</si>
  <si>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</si>
  <si>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</si>
  <si>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</si>
  <si>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</si>
  <si>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</si>
  <si>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</si>
  <si>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</si>
  <si>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</si>
  <si>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</si>
  <si>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</si>
  <si>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</si>
  <si>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</si>
  <si>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</si>
  <si>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</si>
  <si>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</si>
  <si>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</si>
  <si>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</si>
  <si>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</si>
  <si>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</si>
  <si>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</si>
  <si>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</si>
  <si>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</si>
  <si>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</si>
  <si>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</si>
  <si>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</si>
  <si>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</si>
  <si>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</si>
  <si>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</si>
  <si>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</si>
  <si>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</si>
  <si>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</si>
  <si>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</si>
  <si>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</si>
  <si>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</si>
  <si>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</si>
  <si>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</si>
  <si>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</si>
  <si>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</si>
  <si>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</si>
  <si>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</si>
  <si>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</si>
  <si>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</si>
  <si>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</si>
  <si>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</si>
  <si>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</si>
  <si>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</si>
  <si>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</si>
  <si>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</si>
  <si>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</si>
  <si>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</si>
  <si>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</si>
  <si>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</si>
  <si>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</si>
  <si>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</si>
  <si>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</si>
  <si>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</si>
  <si>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</si>
  <si>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</si>
  <si>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</si>
  <si>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</si>
  <si>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</si>
  <si>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</si>
  <si>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</si>
  <si>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</si>
  <si>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</si>
  <si>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</si>
  <si>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</si>
  <si>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</si>
  <si>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</si>
  <si>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</si>
  <si>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</si>
  <si>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</si>
  <si>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</si>
  <si>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</si>
  <si>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</si>
  <si>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</si>
  <si>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</si>
  <si>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</si>
  <si>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</si>
  <si>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</si>
  <si>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</si>
  <si>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</si>
  <si>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</si>
  <si>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</si>
  <si>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</si>
  <si>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</si>
  <si>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</si>
  <si>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</si>
  <si>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</si>
  <si>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</si>
  <si>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</si>
  <si>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</si>
  <si>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</si>
  <si>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</si>
  <si>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</si>
  <si>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</si>
  <si>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</si>
  <si>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</si>
  <si>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</si>
  <si>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</si>
  <si>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</si>
  <si>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</si>
  <si>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</si>
  <si>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</si>
  <si>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</si>
  <si>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</si>
  <si>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</si>
  <si>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</si>
  <si>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</si>
  <si>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</si>
  <si>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</si>
  <si>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</si>
  <si>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</si>
  <si>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</si>
  <si>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</si>
  <si>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</si>
  <si>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</si>
  <si>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</si>
  <si>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</si>
  <si>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</si>
  <si>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</si>
  <si>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</si>
  <si>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</si>
  <si>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</si>
  <si>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</si>
  <si>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</si>
  <si>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</si>
  <si>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</si>
  <si>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</si>
  <si>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</si>
  <si>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</si>
  <si>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</si>
  <si>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</si>
  <si>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</si>
  <si>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</si>
  <si>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</si>
  <si>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</si>
  <si>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</si>
  <si>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</si>
  <si>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</si>
  <si>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</si>
  <si>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</si>
  <si>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</si>
  <si>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</si>
  <si>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</si>
  <si>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</si>
  <si>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</si>
  <si>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</si>
  <si>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</si>
  <si>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</si>
  <si>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</si>
  <si>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</si>
  <si>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</si>
  <si>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</si>
  <si>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</si>
  <si>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</si>
  <si>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</si>
  <si>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</si>
  <si>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</si>
  <si>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</si>
  <si>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</si>
  <si>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</si>
  <si>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</si>
  <si>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</si>
  <si>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</si>
  <si>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</si>
  <si>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</si>
  <si>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</si>
  <si>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</si>
  <si>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</si>
  <si>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</si>
  <si>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</si>
  <si>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</si>
  <si>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</si>
  <si>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</si>
  <si>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</si>
  <si>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</si>
  <si>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</si>
  <si>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</si>
  <si>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</si>
  <si>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</si>
  <si>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</si>
  <si>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</si>
  <si>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</si>
  <si>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</si>
  <si>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</si>
  <si>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</si>
  <si>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</si>
  <si>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</si>
  <si>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</si>
  <si>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</si>
  <si>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</si>
  <si>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</si>
  <si>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</si>
  <si>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</si>
  <si>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</si>
  <si>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</si>
  <si>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</si>
  <si>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</si>
  <si>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</si>
  <si>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</si>
  <si>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</si>
  <si>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</si>
  <si>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</si>
  <si>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</si>
  <si>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</si>
  <si>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</si>
  <si>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</si>
  <si>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</si>
  <si>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</si>
  <si>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</si>
  <si>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</si>
  <si>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</si>
  <si>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</si>
  <si>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</si>
  <si>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</si>
  <si>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</si>
  <si>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</si>
  <si>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</si>
  <si>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</si>
  <si>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</si>
  <si>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</si>
  <si>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</si>
  <si>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</si>
  <si>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</si>
  <si>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</si>
  <si>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</si>
  <si>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</si>
  <si>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</si>
  <si>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</si>
  <si>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</si>
  <si>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</si>
  <si>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</si>
  <si>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</si>
  <si>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</si>
  <si>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</si>
  <si>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</si>
  <si>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</si>
  <si>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</si>
  <si>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</si>
  <si>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</si>
  <si>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</si>
  <si>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</si>
  <si>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</si>
  <si>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</si>
  <si>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</si>
  <si>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</si>
  <si>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</si>
  <si>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</si>
  <si>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</si>
  <si>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</si>
  <si>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</si>
  <si>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</si>
  <si>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</si>
  <si>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</si>
  <si>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</si>
  <si>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</si>
  <si>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</si>
  <si>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</si>
  <si>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</si>
  <si>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</si>
  <si>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</si>
  <si>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</si>
  <si>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</si>
  <si>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</si>
  <si>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</si>
  <si>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</si>
  <si>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</si>
  <si>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</si>
  <si>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</si>
  <si>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</si>
  <si>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</si>
  <si>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</si>
  <si>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</si>
  <si>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</si>
  <si>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</si>
  <si>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</si>
  <si>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</si>
  <si>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</si>
  <si>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</si>
  <si>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</si>
  <si>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</si>
  <si>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</si>
  <si>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</si>
  <si>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</si>
  <si>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</si>
  <si>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</si>
  <si>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</si>
  <si>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</si>
  <si>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</si>
  <si>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</si>
  <si>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</si>
  <si>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</si>
  <si>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</si>
  <si>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</si>
  <si>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</si>
  <si>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</si>
  <si>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</si>
  <si>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</si>
  <si>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</si>
  <si>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</si>
  <si>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</si>
  <si>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</si>
  <si>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</si>
  <si>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</si>
  <si>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</si>
  <si>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</si>
  <si>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</si>
  <si>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</si>
  <si>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</si>
  <si>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</si>
  <si>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</si>
  <si>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</si>
  <si>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</si>
  <si>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</si>
  <si>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</si>
  <si>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</si>
  <si>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</si>
  <si>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</si>
  <si>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</si>
  <si>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</si>
  <si>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</si>
  <si>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</si>
  <si>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</si>
  <si>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</si>
  <si>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</si>
  <si>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</si>
  <si>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</si>
  <si>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</si>
  <si>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</si>
  <si>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</si>
  <si>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</si>
  <si>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</si>
  <si>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</si>
  <si>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</si>
  <si>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</si>
  <si>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</si>
  <si>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</si>
  <si>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</si>
  <si>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</si>
  <si>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</si>
  <si>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</si>
  <si>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</si>
  <si>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</si>
  <si>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</si>
  <si>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</si>
  <si>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</si>
  <si>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</si>
  <si>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</si>
  <si>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</si>
  <si>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</si>
  <si>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</si>
  <si>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</si>
  <si>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</si>
  <si>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</si>
  <si>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</si>
  <si>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</si>
  <si>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</si>
  <si>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</si>
  <si>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</si>
  <si>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</si>
  <si>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</si>
  <si>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</si>
  <si>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</si>
  <si>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</si>
  <si>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</si>
  <si>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</si>
  <si>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</si>
  <si>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</si>
  <si>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</si>
  <si>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</si>
  <si>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</si>
  <si>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</si>
  <si>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</si>
  <si>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</si>
  <si>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</si>
  <si>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</si>
  <si>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</si>
  <si>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</si>
  <si>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</si>
  <si>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</si>
  <si>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</si>
  <si>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</si>
  <si>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</si>
  <si>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</si>
  <si>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</si>
  <si>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</si>
  <si>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</si>
  <si>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</si>
  <si>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</si>
  <si>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</si>
  <si>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</si>
  <si>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</si>
  <si>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</si>
  <si>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</si>
  <si>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</si>
  <si>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</si>
  <si>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</si>
  <si>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</si>
  <si>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</si>
  <si>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</si>
  <si>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</si>
  <si>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</si>
  <si>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</si>
  <si>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</si>
  <si>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</si>
  <si>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</si>
  <si>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</si>
  <si>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</si>
  <si>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</si>
  <si>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</si>
  <si>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</si>
  <si>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</si>
  <si>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</si>
  <si>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</si>
  <si>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</si>
  <si>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</si>
  <si>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</si>
  <si>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</si>
  <si>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</si>
  <si>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</si>
  <si>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</si>
  <si>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</si>
  <si>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</si>
  <si>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</si>
  <si>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</si>
  <si>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</si>
  <si>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</si>
  <si>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</si>
  <si>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</si>
  <si>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</si>
  <si>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</si>
  <si>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</si>
  <si>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</si>
  <si>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</si>
  <si>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</si>
  <si>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</si>
  <si>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</si>
  <si>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</si>
  <si>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</si>
  <si>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</si>
  <si>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</si>
  <si>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</si>
  <si>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</si>
  <si>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</si>
  <si>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</si>
  <si>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</si>
  <si>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</si>
  <si>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</si>
  <si>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</si>
  <si>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</si>
  <si>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</si>
  <si>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</si>
  <si>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</si>
  <si>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</si>
  <si>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</si>
  <si>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</si>
  <si>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</si>
  <si>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</si>
  <si>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</si>
  <si>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</si>
  <si>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</si>
  <si>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</si>
  <si>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</si>
  <si>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</si>
  <si>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</si>
  <si>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</si>
  <si>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</si>
  <si>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</si>
  <si>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</si>
  <si>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</si>
  <si>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</si>
  <si>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</si>
  <si>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</si>
  <si>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</si>
  <si>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</si>
  <si>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</si>
  <si>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</si>
  <si>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</si>
  <si>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</si>
  <si>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</si>
  <si>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</si>
  <si>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</si>
  <si>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</si>
  <si>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</si>
  <si>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</si>
  <si>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</si>
  <si>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</si>
  <si>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</si>
  <si>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</si>
  <si>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</si>
  <si>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</si>
  <si>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</si>
  <si>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</si>
  <si>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</si>
  <si>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</si>
  <si>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</si>
  <si>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</si>
  <si>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</si>
  <si>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</si>
  <si>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</si>
  <si>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</si>
  <si>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</si>
  <si>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</si>
  <si>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</si>
  <si>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</si>
  <si>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</si>
  <si>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</si>
  <si>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</si>
  <si>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</si>
  <si>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</si>
  <si>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</si>
  <si>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</si>
  <si>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</si>
  <si>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</si>
  <si>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</si>
  <si>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</si>
  <si>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</si>
  <si>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</si>
  <si>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</si>
  <si>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</si>
  <si>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</si>
  <si>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</si>
  <si>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</si>
  <si>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</si>
  <si>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</si>
  <si>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</si>
  <si>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</si>
  <si>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</si>
  <si>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</si>
  <si>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</si>
  <si>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</si>
  <si>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</si>
  <si>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</si>
  <si>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</si>
  <si>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</si>
  <si>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</si>
  <si>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</si>
  <si>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</si>
  <si>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</si>
  <si>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</si>
  <si>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</si>
  <si>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</si>
  <si>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</si>
  <si>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</si>
  <si>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</si>
  <si>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</si>
  <si>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</si>
  <si>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</si>
  <si>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</si>
  <si>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</si>
  <si>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</si>
  <si>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</si>
  <si>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</si>
  <si>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</si>
  <si>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</si>
  <si>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</si>
  <si>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</si>
  <si>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</si>
  <si>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</si>
  <si>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</si>
  <si>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</si>
  <si>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</si>
  <si>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</si>
  <si>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</si>
  <si>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</si>
  <si>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</si>
  <si>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</si>
  <si>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</si>
  <si>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</si>
  <si>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</si>
  <si>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</si>
  <si>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</si>
  <si>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</si>
  <si>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</si>
  <si>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</si>
  <si>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</si>
  <si>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</si>
  <si>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</si>
  <si>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</si>
  <si>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</si>
  <si>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</si>
  <si>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</si>
  <si>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</si>
  <si>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</si>
  <si>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</si>
  <si>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</si>
  <si>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</si>
  <si>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</si>
  <si>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</si>
  <si>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</si>
  <si>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</si>
  <si>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</si>
  <si>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</si>
  <si>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</si>
  <si>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</si>
  <si>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</si>
  <si>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</si>
  <si>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</si>
  <si>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</si>
  <si>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</si>
  <si>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</si>
  <si>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</si>
  <si>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</si>
  <si>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</si>
  <si>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</si>
  <si>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</si>
  <si>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</si>
  <si>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</si>
  <si>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</si>
  <si>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</si>
  <si>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</si>
  <si>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</si>
  <si>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</si>
  <si>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</si>
  <si>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</si>
  <si>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</si>
  <si>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</si>
  <si>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</si>
  <si>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</si>
  <si>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</si>
  <si>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</si>
  <si>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</si>
  <si>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</si>
  <si>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</si>
  <si>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</si>
  <si>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</si>
  <si>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</si>
  <si>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</si>
  <si>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</si>
  <si>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</si>
  <si>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</si>
  <si>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</si>
  <si>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</si>
  <si>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</si>
  <si>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</si>
  <si>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</si>
  <si>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</si>
  <si>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</si>
  <si>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</si>
  <si>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</si>
  <si>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</si>
  <si>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</si>
  <si>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</si>
  <si>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</si>
  <si>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</si>
  <si>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</si>
  <si>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</si>
  <si>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</si>
  <si>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</si>
  <si>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</si>
  <si>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</si>
  <si>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</si>
  <si>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</si>
  <si>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</si>
  <si>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</si>
  <si>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</si>
  <si>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</si>
  <si>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</si>
  <si>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</si>
  <si>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</si>
  <si>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</si>
  <si>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</si>
  <si>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</si>
  <si>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</si>
  <si>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</si>
  <si>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</si>
  <si>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</si>
  <si>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</si>
  <si>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</si>
  <si>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</si>
  <si>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</si>
  <si>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</si>
  <si>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</si>
  <si>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</si>
  <si>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</si>
  <si>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</si>
  <si>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</si>
  <si>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</si>
  <si>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</si>
  <si>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</si>
  <si>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</si>
  <si>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</si>
  <si>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</si>
  <si>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</si>
  <si>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</si>
  <si>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</si>
  <si>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</si>
  <si>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</si>
  <si>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</si>
  <si>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</si>
  <si>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</si>
  <si>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</si>
  <si>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</si>
  <si>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</si>
  <si>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</si>
  <si>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</si>
  <si>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</si>
  <si>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</si>
  <si>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</si>
  <si>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</si>
  <si>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</si>
  <si>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</si>
  <si>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</si>
  <si>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</si>
  <si>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</si>
  <si>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</si>
  <si>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</si>
  <si>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</si>
  <si>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</si>
  <si>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</si>
  <si>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</si>
  <si>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</si>
  <si>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</si>
  <si>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</si>
  <si>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</si>
  <si>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</si>
  <si>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</si>
  <si>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</si>
  <si>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</si>
  <si>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</si>
  <si>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</si>
  <si>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</si>
  <si>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</si>
  <si>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</si>
  <si>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</si>
  <si>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</si>
  <si>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</si>
  <si>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</si>
  <si>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</si>
  <si>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</si>
  <si>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</si>
  <si>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</si>
  <si>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</si>
  <si>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</si>
  <si>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</si>
  <si>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</si>
  <si>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</si>
  <si>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</si>
  <si>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</si>
  <si>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</si>
  <si>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</si>
  <si>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</si>
  <si>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</si>
  <si>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</si>
  <si>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</si>
  <si>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</si>
  <si>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</si>
  <si>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</si>
  <si>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</si>
  <si>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</si>
  <si>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</si>
  <si>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</si>
  <si>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</si>
  <si>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</si>
  <si>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</si>
  <si>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</si>
  <si>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</si>
  <si>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</si>
  <si>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</si>
  <si>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</si>
  <si>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</si>
  <si>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</si>
  <si>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</si>
  <si>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</si>
  <si>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</si>
  <si>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</si>
  <si>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</si>
  <si>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</si>
  <si>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</si>
  <si>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</si>
  <si>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</si>
  <si>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</si>
  <si>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</si>
  <si>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</si>
  <si>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</si>
  <si>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</si>
  <si>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</si>
  <si>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</si>
  <si>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</si>
  <si>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</si>
  <si>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</si>
  <si>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</si>
  <si>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</si>
  <si>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</si>
  <si>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</si>
  <si>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</si>
  <si>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</si>
  <si>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</si>
  <si>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</si>
  <si>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</si>
  <si>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</si>
  <si>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</si>
  <si>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</si>
  <si>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</si>
  <si>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</si>
  <si>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</si>
  <si>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</si>
  <si>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</si>
  <si>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</si>
  <si>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</si>
  <si>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</si>
  <si>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</si>
  <si>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</si>
  <si>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</si>
  <si>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</si>
  <si>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</si>
  <si>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</si>
  <si>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</si>
  <si>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</si>
  <si>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</si>
  <si>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</si>
  <si>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</si>
  <si>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</si>
  <si>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</si>
  <si>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</si>
  <si>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</si>
  <si>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</si>
  <si>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</si>
  <si>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</si>
  <si>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</si>
  <si>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</si>
  <si>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</si>
  <si>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</si>
  <si>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</si>
  <si>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</si>
  <si>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</si>
  <si>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</si>
  <si>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</si>
  <si>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</si>
  <si>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</si>
  <si>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</si>
  <si>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</si>
  <si>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</si>
  <si>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</si>
  <si>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</si>
  <si>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</si>
  <si>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</si>
  <si>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</si>
  <si>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</si>
  <si>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</si>
  <si>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</si>
  <si>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</si>
  <si>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</si>
  <si>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</si>
  <si>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</si>
  <si>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</si>
  <si>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</si>
  <si>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</si>
  <si>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</si>
  <si>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</si>
  <si>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</si>
  <si>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</si>
  <si>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</si>
  <si>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</si>
  <si>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</si>
  <si>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</si>
  <si>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</si>
  <si>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</si>
  <si>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</si>
  <si>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</si>
  <si>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</si>
  <si>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</si>
  <si>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</si>
  <si>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</si>
  <si>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</si>
  <si>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</si>
  <si>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</si>
  <si>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</si>
  <si>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</si>
  <si>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</si>
  <si>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</si>
  <si>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</si>
  <si>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</si>
  <si>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</si>
  <si>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</si>
  <si>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</si>
  <si>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</si>
  <si>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</si>
  <si>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</si>
  <si>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</si>
  <si>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</si>
  <si>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</si>
  <si>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</si>
  <si>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</si>
  <si>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</si>
  <si>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</si>
  <si>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</si>
  <si>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</si>
  <si>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</si>
  <si>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</si>
  <si>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</si>
  <si>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</si>
  <si>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</si>
  <si>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</si>
  <si>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</si>
  <si>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</si>
  <si>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</si>
  <si>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</si>
  <si>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</si>
  <si>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</si>
  <si>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</si>
  <si>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</si>
  <si>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</si>
  <si>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</si>
  <si>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</si>
  <si>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</si>
  <si>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</si>
  <si>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</si>
  <si>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</si>
  <si>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</si>
  <si>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</si>
  <si>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</si>
  <si>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</si>
  <si>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</si>
  <si>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</si>
  <si>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</si>
  <si>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</si>
  <si>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</si>
  <si>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</si>
  <si>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</si>
  <si>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</si>
  <si>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</si>
  <si>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</si>
  <si>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</si>
  <si>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</si>
  <si>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</si>
  <si>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</si>
  <si>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</si>
  <si>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</si>
  <si>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</si>
  <si>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</si>
  <si>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</si>
  <si>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</si>
  <si>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</si>
  <si>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</si>
  <si>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</si>
  <si>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</si>
  <si>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</si>
  <si>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</si>
  <si>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</si>
  <si>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</si>
  <si>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</si>
  <si>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</si>
  <si>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</si>
  <si>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</si>
  <si>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</si>
  <si>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</si>
  <si>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</si>
  <si>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</si>
  <si>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</si>
  <si>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</si>
  <si>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</si>
  <si>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</si>
  <si>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</si>
  <si>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</si>
  <si>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</si>
  <si>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</si>
  <si>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</si>
  <si>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</si>
  <si>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</si>
  <si>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</si>
  <si>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</si>
  <si>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</si>
  <si>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</si>
  <si>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</si>
  <si>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</si>
  <si>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</si>
  <si>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</si>
  <si>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</si>
  <si>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</si>
  <si>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</si>
  <si>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</si>
  <si>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</si>
  <si>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</si>
  <si>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</si>
  <si>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</si>
  <si>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</si>
  <si>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</si>
  <si>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</si>
  <si>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</si>
  <si>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</si>
  <si>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</si>
  <si>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</si>
  <si>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</si>
  <si>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</si>
  <si>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</si>
  <si>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</si>
  <si>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</si>
  <si>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</si>
  <si>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</si>
  <si>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</si>
  <si>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</si>
  <si>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</si>
  <si>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</si>
  <si>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</si>
  <si>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</si>
  <si>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</si>
  <si>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</si>
  <si>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</si>
  <si>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</si>
  <si>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</si>
  <si>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</si>
  <si>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</si>
  <si>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</si>
  <si>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</si>
  <si>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</si>
  <si>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</si>
  <si>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</si>
  <si>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</si>
  <si>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</si>
  <si>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</si>
  <si>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</si>
  <si>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</si>
  <si>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</si>
  <si>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</si>
  <si>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</si>
  <si>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</si>
  <si>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</si>
  <si>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</si>
  <si>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</si>
  <si>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</si>
  <si>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</si>
  <si>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</si>
  <si>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</si>
  <si>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</si>
  <si>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</si>
  <si>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</si>
  <si>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</si>
  <si>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</si>
  <si>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</si>
  <si>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</si>
  <si>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</si>
  <si>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</si>
  <si>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</si>
  <si>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</si>
  <si>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</si>
  <si>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</si>
  <si>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</si>
  <si>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</si>
  <si>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</si>
  <si>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</si>
  <si>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</si>
  <si>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</si>
  <si>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</si>
  <si>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</si>
  <si>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</si>
  <si>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</si>
  <si>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</si>
  <si>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</si>
  <si>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</si>
  <si>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</si>
  <si>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</si>
  <si>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</si>
  <si>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</si>
  <si>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</si>
  <si>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</si>
  <si>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</si>
  <si>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</si>
  <si>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</si>
  <si>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</si>
  <si>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</si>
  <si>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</si>
  <si>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</si>
  <si>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</si>
  <si>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</si>
  <si>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</si>
  <si>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</si>
  <si>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</si>
  <si>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</si>
  <si>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</si>
  <si>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</si>
  <si>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</si>
  <si>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</si>
  <si>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</si>
  <si>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</si>
  <si>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</si>
  <si>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</si>
  <si>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</si>
  <si>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</si>
  <si>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</si>
  <si>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</si>
  <si>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</si>
  <si>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</si>
  <si>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</si>
  <si>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</si>
  <si>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</si>
  <si>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</si>
  <si>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</si>
  <si>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</si>
  <si>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</si>
  <si>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</si>
  <si>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</si>
  <si>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</si>
  <si>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</si>
  <si>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</si>
  <si>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</si>
  <si>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</si>
  <si>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</si>
  <si>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</si>
  <si>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</si>
  <si>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</si>
  <si>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</si>
  <si>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</si>
  <si>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</si>
  <si>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</si>
  <si>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</si>
  <si>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</si>
  <si>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</si>
  <si>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</si>
  <si>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</si>
  <si>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</si>
  <si>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</si>
  <si>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</si>
  <si>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</si>
  <si>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</si>
  <si>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</si>
  <si>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</si>
  <si>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</si>
  <si>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</si>
  <si>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</si>
  <si>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</si>
  <si>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</si>
  <si>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</si>
  <si>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</si>
  <si>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</si>
  <si>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</si>
  <si>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</si>
  <si>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</si>
  <si>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</si>
  <si>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</si>
  <si>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</si>
  <si>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</si>
  <si>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</si>
  <si>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</si>
  <si>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</si>
  <si>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</si>
  <si>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</si>
  <si>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</si>
  <si>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</si>
  <si>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</si>
  <si>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</si>
  <si>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</si>
  <si>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</si>
  <si>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</si>
  <si>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</si>
  <si>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</si>
  <si>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</si>
  <si>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</si>
  <si>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</si>
  <si>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</si>
  <si>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</si>
  <si>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</si>
  <si>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</si>
  <si>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</si>
  <si>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</si>
  <si>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</si>
  <si>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</si>
  <si>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</si>
  <si>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</si>
  <si>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</si>
  <si>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</si>
  <si>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</si>
  <si>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</si>
  <si>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</si>
  <si>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</si>
  <si>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</si>
  <si>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</si>
  <si>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</si>
  <si>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</si>
  <si>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</si>
  <si>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</si>
  <si>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</si>
  <si>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</si>
  <si>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</si>
  <si>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</si>
  <si>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</si>
  <si>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</si>
  <si>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</si>
  <si>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</si>
  <si>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</si>
  <si>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</si>
  <si>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</si>
  <si>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</si>
  <si>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</si>
  <si>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</si>
  <si>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</si>
  <si>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</si>
  <si>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</si>
  <si>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</si>
  <si>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</si>
  <si>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</si>
  <si>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</si>
  <si>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</si>
  <si>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</si>
  <si>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</si>
  <si>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</si>
  <si>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</si>
  <si>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</si>
  <si>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</si>
  <si>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</si>
  <si>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</si>
  <si>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</si>
  <si>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</si>
  <si>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</si>
  <si>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</si>
  <si>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</si>
  <si>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</si>
  <si>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</si>
  <si>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</si>
  <si>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</si>
  <si>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</si>
  <si>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</si>
  <si>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</si>
  <si>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</si>
  <si>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</si>
  <si>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</si>
  <si>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</si>
  <si>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</si>
  <si>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</si>
  <si>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</si>
  <si>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</si>
  <si>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</si>
  <si>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</si>
  <si>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</si>
  <si>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</si>
  <si>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</si>
  <si>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</si>
  <si>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</si>
  <si>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</si>
  <si>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</si>
  <si>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</si>
  <si>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</si>
  <si>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</si>
  <si>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</si>
  <si>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</si>
  <si>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</si>
  <si>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</si>
  <si>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</si>
  <si>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</si>
  <si>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</si>
  <si>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</si>
  <si>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</si>
  <si>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</si>
  <si>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</si>
  <si>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</si>
  <si>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</si>
  <si>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</si>
  <si>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</si>
  <si>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</si>
  <si>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</si>
  <si>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</si>
  <si>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</si>
  <si>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</si>
  <si>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</si>
  <si>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</si>
  <si>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</si>
  <si>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</si>
  <si>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</si>
  <si>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</si>
  <si>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</si>
  <si>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</si>
  <si>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</si>
  <si>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</si>
  <si>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</si>
  <si>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</si>
  <si>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</si>
  <si>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</si>
  <si>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</si>
  <si>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</si>
  <si>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</si>
  <si>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</si>
  <si>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</si>
  <si>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</si>
  <si>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</si>
  <si>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</si>
  <si>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</si>
  <si>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</si>
  <si>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</si>
  <si>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</si>
  <si>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</si>
  <si>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</si>
  <si>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</si>
  <si>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</si>
  <si>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</si>
  <si>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</si>
  <si>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</si>
  <si>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</si>
  <si>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</si>
  <si>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</si>
  <si>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</si>
  <si>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</si>
  <si>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</si>
  <si>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</si>
  <si>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</si>
  <si>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</si>
  <si>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</si>
  <si>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</si>
  <si>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</si>
  <si>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</si>
  <si>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</si>
  <si>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</si>
  <si>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</si>
  <si>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</si>
  <si>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</si>
  <si>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</si>
  <si>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</si>
  <si>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</si>
  <si>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</si>
  <si>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</si>
  <si>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</si>
  <si>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</si>
  <si>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</si>
  <si>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</si>
  <si>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</si>
  <si>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</si>
  <si>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</si>
  <si>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</si>
  <si>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</si>
  <si>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</si>
  <si>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</si>
  <si>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</si>
  <si>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</si>
  <si>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</si>
  <si>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</si>
  <si>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</si>
  <si>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</si>
  <si>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</si>
  <si>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</si>
  <si>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</si>
  <si>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</si>
  <si>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</si>
  <si>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</si>
  <si>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</si>
  <si>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</si>
  <si>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</si>
  <si>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</si>
  <si>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</si>
  <si>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</si>
  <si>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</si>
  <si>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</si>
  <si>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</si>
  <si>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</si>
  <si>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</si>
  <si>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</si>
  <si>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</si>
  <si>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</si>
  <si>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</si>
  <si>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</si>
  <si>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</si>
  <si>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</si>
  <si>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</si>
  <si>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</si>
  <si>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</si>
  <si>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</si>
  <si>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</si>
  <si>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</si>
  <si>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</si>
  <si>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</si>
  <si>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</si>
  <si>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</si>
  <si>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</si>
  <si>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</si>
  <si>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</si>
  <si>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</si>
  <si>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</si>
  <si>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</si>
  <si>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</si>
  <si>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</si>
  <si>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</si>
  <si>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</si>
  <si>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</si>
  <si>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</si>
  <si>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</si>
  <si>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</si>
  <si>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</si>
  <si>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</si>
  <si>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</si>
  <si>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</si>
  <si>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</si>
  <si>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</si>
  <si>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</si>
  <si>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</si>
  <si>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</si>
  <si>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</si>
  <si>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</si>
  <si>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</si>
  <si>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</si>
  <si>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</si>
  <si>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</si>
  <si>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</si>
  <si>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</si>
  <si>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</si>
  <si>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</si>
  <si>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</si>
  <si>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</si>
  <si>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</si>
  <si>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</si>
  <si>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</si>
  <si>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</si>
  <si>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</si>
  <si>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</si>
  <si>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</si>
  <si>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</si>
  <si>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</si>
  <si>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</si>
  <si>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</si>
  <si>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</si>
  <si>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</si>
  <si>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</si>
  <si>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</si>
  <si>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</si>
  <si>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</si>
  <si>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</si>
  <si>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</si>
  <si>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</si>
  <si>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</si>
  <si>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</si>
  <si>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</si>
  <si>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</si>
  <si>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</si>
  <si>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</si>
  <si>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</si>
  <si>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</si>
  <si>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</si>
  <si>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</si>
  <si>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</si>
  <si>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</si>
  <si>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</si>
  <si>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</si>
  <si>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</si>
  <si>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</si>
  <si>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</si>
  <si>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</si>
  <si>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</si>
  <si>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</si>
  <si>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</si>
  <si>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</si>
  <si>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</si>
  <si>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</si>
  <si>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</si>
  <si>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</si>
  <si>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</si>
  <si>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</si>
  <si>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</si>
  <si>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</si>
  <si>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</si>
  <si>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</si>
  <si>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</si>
  <si>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</si>
  <si>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</si>
  <si>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</si>
  <si>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</si>
  <si>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</si>
  <si>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</si>
  <si>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</si>
  <si>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</si>
  <si>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</si>
  <si>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</si>
  <si>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</si>
  <si>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</si>
  <si>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</si>
  <si>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</si>
  <si>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</si>
  <si>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</si>
  <si>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</si>
  <si>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</si>
  <si>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</si>
  <si>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</si>
  <si>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</si>
  <si>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</si>
  <si>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</si>
  <si>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</si>
  <si>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</si>
  <si>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</si>
  <si>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</si>
  <si>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</si>
  <si>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</si>
  <si>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</si>
  <si>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</si>
  <si>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</si>
  <si>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</si>
  <si>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</si>
  <si>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</si>
  <si>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</si>
  <si>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</si>
  <si>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</si>
  <si>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</si>
  <si>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</si>
  <si>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</si>
  <si>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</si>
  <si>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</si>
  <si>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</si>
  <si>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</si>
  <si>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</si>
  <si>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</si>
  <si>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</si>
  <si>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</si>
  <si>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</si>
  <si>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</si>
  <si>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</si>
  <si>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</si>
  <si>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</si>
  <si>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</si>
  <si>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</si>
  <si>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</si>
  <si>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</si>
  <si>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</si>
  <si>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</si>
  <si>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</si>
  <si>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</si>
  <si>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</si>
  <si>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</si>
  <si>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</si>
  <si>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</si>
  <si>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</si>
  <si>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</si>
  <si>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</si>
  <si>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</si>
  <si>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</si>
  <si>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</si>
  <si>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</si>
  <si>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</si>
  <si>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</si>
  <si>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</si>
  <si>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</si>
  <si>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</si>
  <si>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</si>
  <si>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</si>
  <si>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</si>
  <si>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</si>
  <si>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</si>
  <si>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</si>
  <si>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</si>
  <si>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</si>
  <si>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</si>
  <si>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</si>
  <si>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</si>
  <si>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</si>
  <si>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</si>
  <si>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</si>
  <si>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</si>
  <si>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</si>
  <si>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</si>
  <si>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</si>
  <si>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</si>
  <si>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</si>
  <si>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</si>
  <si>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</si>
  <si>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</si>
  <si>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</si>
  <si>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</si>
  <si>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</si>
  <si>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</si>
  <si>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</si>
  <si>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</si>
  <si>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</si>
  <si>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</si>
  <si>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</si>
  <si>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</si>
  <si>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</si>
  <si>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</si>
  <si>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</si>
  <si>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</si>
  <si>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</si>
  <si>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</si>
  <si>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</si>
  <si>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</si>
  <si>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</si>
  <si>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</si>
  <si>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</si>
  <si>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</si>
  <si>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</si>
  <si>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</si>
  <si>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</si>
  <si>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</si>
  <si>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</si>
  <si>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</si>
  <si>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</si>
  <si>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</si>
  <si>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</si>
  <si>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</si>
  <si>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</si>
  <si>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</si>
  <si>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</si>
  <si>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</si>
  <si>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</si>
  <si>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</si>
  <si>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</si>
  <si>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</si>
  <si>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</si>
  <si>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</si>
  <si>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</si>
  <si>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</si>
  <si>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</si>
  <si>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</si>
  <si>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</si>
  <si>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</si>
  <si>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</si>
  <si>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</si>
  <si>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</si>
  <si>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</si>
  <si>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</si>
  <si>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</si>
  <si>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</si>
  <si>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</si>
  <si>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</si>
  <si>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</si>
  <si>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</si>
  <si>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</si>
  <si>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</si>
  <si>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</si>
  <si>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</si>
  <si>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</si>
  <si>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</si>
  <si>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</si>
  <si>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</si>
  <si>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</si>
  <si>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</si>
  <si>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</si>
  <si>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</si>
  <si>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</si>
  <si>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</si>
  <si>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</si>
  <si>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</si>
  <si>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</si>
  <si>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</si>
  <si>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</si>
  <si>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</si>
  <si>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</si>
  <si>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</si>
  <si>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</si>
  <si>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</si>
  <si>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</si>
  <si>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</si>
  <si>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</si>
  <si>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</si>
  <si>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</si>
  <si>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</si>
  <si>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</si>
  <si>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</si>
  <si>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</si>
  <si>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</si>
  <si>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</si>
  <si>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</si>
  <si>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</si>
  <si>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</si>
  <si>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</si>
  <si>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</si>
  <si>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</si>
  <si>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</si>
  <si>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</si>
  <si>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</si>
  <si>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</si>
  <si>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</si>
  <si>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</si>
  <si>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</si>
  <si>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</si>
  <si>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</si>
  <si>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</si>
  <si>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</si>
  <si>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</si>
  <si>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</si>
  <si>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</si>
  <si>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</si>
  <si>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</si>
  <si>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</si>
  <si>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</si>
  <si>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</si>
  <si>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</si>
  <si>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</si>
  <si>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</si>
  <si>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</si>
  <si>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</si>
  <si>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</si>
  <si>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</si>
  <si>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</si>
  <si>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</si>
  <si>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</si>
  <si>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</si>
  <si>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</si>
  <si>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</si>
  <si>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</si>
  <si>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</si>
  <si>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</si>
  <si>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</si>
  <si>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</si>
  <si>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</si>
  <si>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</si>
  <si>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</si>
  <si>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</si>
  <si>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</si>
  <si>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</si>
  <si>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</si>
  <si>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</si>
  <si>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</si>
  <si>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</si>
  <si>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</si>
  <si>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</si>
  <si>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</si>
  <si>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</si>
  <si>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</si>
  <si>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</si>
  <si>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</si>
  <si>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</si>
  <si>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</si>
  <si>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</si>
  <si>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</si>
  <si>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</si>
  <si>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</si>
  <si>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</si>
  <si>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</si>
  <si>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</si>
  <si>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</si>
  <si>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</si>
  <si>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</si>
  <si>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</si>
  <si>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</si>
  <si>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</si>
  <si>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</si>
  <si>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</si>
  <si>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</si>
  <si>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</si>
  <si>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</si>
  <si>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</si>
  <si>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</si>
  <si>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</si>
  <si>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</si>
  <si>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</si>
  <si>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</si>
  <si>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</si>
  <si>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</si>
  <si>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</si>
  <si>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</si>
  <si>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</si>
  <si>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</si>
  <si>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</si>
  <si>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</si>
  <si>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</si>
  <si>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</si>
  <si>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</si>
  <si>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</si>
  <si>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</si>
  <si>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</si>
  <si>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</si>
  <si>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</si>
  <si>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</si>
  <si>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</si>
  <si>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</si>
  <si>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</si>
  <si>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</si>
  <si>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</si>
  <si>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</si>
  <si>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</si>
  <si>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</si>
  <si>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</si>
  <si>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</si>
  <si>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</si>
  <si>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</si>
  <si>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</si>
  <si>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</si>
  <si>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</si>
  <si>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</si>
  <si>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</si>
  <si>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</si>
  <si>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</si>
  <si>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</si>
  <si>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</si>
  <si>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</si>
  <si>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</si>
  <si>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</si>
  <si>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</si>
  <si>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</si>
  <si>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</si>
  <si>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</si>
  <si>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</si>
  <si>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</si>
  <si>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</si>
  <si>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</si>
  <si>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</si>
  <si>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</si>
  <si>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</si>
  <si>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</si>
  <si>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</si>
  <si>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</si>
  <si>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</si>
  <si>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</si>
  <si>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</si>
  <si>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</si>
  <si>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</si>
  <si>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</si>
  <si>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</si>
  <si>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</si>
  <si>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</si>
  <si>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</si>
  <si>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</si>
  <si>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</si>
  <si>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</si>
  <si>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</si>
  <si>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</si>
  <si>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</si>
  <si>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</si>
  <si>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</si>
  <si>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</si>
  <si>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</si>
  <si>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</si>
  <si>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</si>
  <si>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</si>
  <si>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</si>
  <si>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</si>
  <si>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</si>
  <si>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</si>
  <si>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</si>
  <si>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</si>
  <si>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</si>
  <si>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</si>
  <si>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</si>
  <si>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</si>
  <si>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</si>
  <si>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</si>
  <si>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</si>
  <si>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</si>
  <si>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</si>
  <si>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</si>
  <si>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</si>
  <si>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</si>
  <si>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</si>
  <si>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</si>
  <si>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</si>
  <si>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</si>
  <si>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</si>
  <si>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</si>
  <si>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</si>
  <si>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</si>
  <si>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</si>
  <si>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</si>
  <si>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</si>
  <si>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</si>
  <si>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</si>
  <si>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</si>
  <si>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</si>
  <si>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</si>
  <si>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</si>
  <si>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</si>
  <si>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</si>
  <si>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</si>
  <si>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</si>
  <si>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</si>
  <si>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</si>
  <si>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</si>
  <si>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</si>
  <si>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</si>
  <si>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</si>
  <si>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</si>
  <si>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</si>
  <si>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</si>
  <si>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</si>
  <si>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</si>
  <si>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</si>
  <si>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</si>
  <si>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</si>
  <si>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</si>
  <si>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</si>
  <si>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</si>
  <si>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</si>
  <si>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</si>
  <si>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</si>
  <si>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</si>
  <si>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</si>
  <si>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</si>
  <si>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</si>
  <si>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</si>
  <si>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</si>
  <si>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</si>
  <si>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</si>
  <si>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</si>
  <si>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</si>
  <si>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</si>
  <si>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</si>
  <si>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</si>
  <si>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</si>
  <si>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</si>
  <si>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</si>
  <si>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</si>
  <si>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</si>
  <si>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</si>
  <si>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</si>
  <si>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</si>
  <si>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</si>
  <si>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</si>
  <si>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</si>
  <si>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</si>
  <si>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</si>
  <si>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</si>
  <si>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</si>
  <si>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</si>
  <si>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</si>
  <si>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</si>
  <si>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</si>
  <si>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</si>
  <si>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</si>
  <si>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</si>
  <si>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</si>
  <si>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</si>
  <si>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</si>
  <si>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</si>
  <si>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</si>
  <si>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</si>
  <si>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</si>
  <si>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</si>
  <si>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</si>
  <si>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</si>
  <si>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</si>
  <si>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</si>
  <si>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</si>
  <si>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</si>
  <si>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</si>
  <si>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</si>
  <si>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</si>
  <si>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</si>
  <si>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</si>
  <si>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</si>
  <si>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</si>
  <si>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</si>
  <si>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</si>
  <si>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</si>
  <si>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</si>
  <si>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</si>
  <si>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</si>
  <si>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</si>
  <si>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</si>
  <si>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</si>
  <si>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</si>
  <si>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</si>
  <si>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</si>
  <si>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</si>
  <si>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</si>
  <si>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</si>
  <si>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</si>
  <si>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</si>
  <si>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</si>
  <si>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</si>
  <si>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</si>
  <si>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</si>
  <si>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</si>
  <si>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</si>
  <si>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</si>
  <si>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</si>
  <si>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</si>
  <si>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</si>
  <si>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</si>
  <si>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</si>
  <si>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</si>
  <si>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</si>
  <si>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</si>
  <si>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</si>
  <si>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</si>
  <si>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</si>
  <si>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</si>
  <si>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</si>
  <si>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</si>
  <si>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</si>
  <si>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</si>
  <si>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</si>
  <si>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</si>
  <si>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</si>
  <si>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</si>
  <si>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</si>
  <si>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</si>
  <si>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</si>
  <si>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</si>
  <si>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</si>
  <si>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</si>
  <si>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</si>
  <si>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</si>
  <si>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</si>
  <si>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</si>
  <si>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</si>
  <si>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</si>
  <si>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</si>
  <si>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</si>
  <si>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</si>
  <si>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</si>
  <si>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</si>
  <si>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</si>
  <si>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</si>
  <si>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</si>
  <si>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</si>
  <si>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</si>
  <si>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</si>
  <si>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</si>
  <si>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</si>
  <si>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</si>
  <si>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</si>
  <si>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</si>
  <si>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</si>
  <si>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</si>
  <si>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</si>
  <si>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</si>
  <si>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</si>
  <si>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</si>
  <si>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</si>
  <si>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</si>
  <si>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</si>
  <si>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</si>
  <si>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</si>
  <si>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</si>
  <si>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</si>
  <si>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</si>
  <si>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</si>
  <si>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</si>
  <si>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</si>
  <si>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</si>
  <si>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</si>
  <si>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</si>
  <si>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</si>
  <si>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</si>
  <si>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</si>
  <si>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</si>
  <si>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</si>
  <si>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</si>
  <si>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</si>
  <si>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</si>
  <si>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</si>
  <si>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</si>
  <si>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</si>
  <si>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</si>
  <si>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</si>
  <si>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</si>
  <si>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</si>
  <si>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</si>
  <si>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</si>
  <si>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</si>
  <si>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</si>
  <si>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</si>
  <si>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</si>
  <si>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</si>
  <si>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</si>
  <si>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</si>
  <si>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</si>
  <si>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</si>
  <si>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</si>
  <si>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</si>
  <si>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</si>
  <si>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</si>
  <si>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</si>
  <si>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</si>
  <si>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</si>
  <si>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</si>
  <si>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</si>
  <si>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</si>
  <si>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</si>
  <si>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</si>
  <si>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</si>
  <si>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</si>
  <si>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</si>
  <si>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</si>
  <si>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</si>
  <si>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</si>
  <si>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</si>
  <si>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</si>
  <si>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</si>
  <si>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</si>
  <si>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</si>
  <si>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</si>
  <si>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</si>
  <si>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</si>
  <si>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</si>
  <si>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</si>
  <si>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</si>
  <si>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</si>
  <si>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</si>
  <si>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</si>
  <si>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</si>
  <si>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</si>
  <si>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</si>
  <si>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</si>
  <si>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</si>
  <si>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</si>
  <si>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</si>
  <si>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</si>
  <si>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</si>
  <si>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</si>
  <si>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</si>
  <si>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</si>
  <si>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</si>
  <si>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</si>
  <si>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</si>
  <si>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</si>
  <si>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</si>
  <si>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</si>
  <si>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</si>
  <si>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</si>
  <si>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</si>
  <si>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</si>
  <si>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</si>
  <si>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</si>
  <si>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</si>
  <si>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</si>
  <si>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</si>
  <si>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</si>
  <si>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</si>
  <si>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</si>
  <si>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</si>
  <si>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</si>
  <si>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</si>
  <si>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</si>
  <si>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</si>
  <si>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</si>
  <si>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</si>
  <si>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</si>
  <si>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</si>
  <si>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</si>
  <si>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</si>
  <si>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</si>
  <si>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</si>
  <si>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</si>
  <si>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</si>
  <si>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</si>
  <si>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</si>
  <si>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</si>
  <si>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</si>
  <si>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</si>
  <si>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</si>
  <si>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</si>
  <si>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</si>
  <si>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</si>
  <si>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</si>
  <si>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</si>
  <si>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</si>
  <si>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</si>
  <si>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</si>
  <si>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</si>
  <si>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</si>
  <si>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</si>
  <si>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</si>
  <si>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</si>
  <si>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</si>
  <si>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</si>
  <si>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</si>
  <si>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</si>
  <si>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</si>
  <si>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</si>
  <si>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</si>
  <si>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</si>
  <si>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</si>
  <si>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</si>
  <si>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</si>
  <si>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</si>
  <si>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</si>
  <si>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</si>
  <si>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</si>
  <si>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</si>
  <si>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</si>
  <si>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</si>
  <si>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</si>
  <si>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</si>
  <si>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</si>
  <si>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</si>
  <si>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</si>
  <si>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</si>
  <si>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</si>
  <si>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</si>
  <si>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</si>
  <si>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</si>
  <si>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</si>
  <si>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</si>
  <si>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</si>
  <si>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</si>
  <si>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</si>
  <si>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</si>
  <si>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</si>
  <si>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</si>
  <si>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</si>
  <si>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</si>
  <si>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</si>
  <si>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</si>
  <si>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</si>
  <si>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</si>
  <si>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</si>
  <si>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</si>
  <si>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</si>
  <si>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</si>
  <si>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</si>
  <si>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</si>
  <si>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</si>
  <si>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</si>
  <si>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</si>
  <si>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</si>
  <si>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</si>
  <si>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</si>
  <si>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</si>
  <si>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</si>
  <si>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</si>
  <si>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</si>
  <si>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</si>
  <si>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</si>
  <si>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</si>
  <si>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</si>
  <si>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</si>
  <si>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</si>
  <si>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</si>
  <si>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</si>
  <si>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</si>
  <si>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</si>
  <si>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</si>
  <si>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</si>
  <si>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</si>
  <si>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</si>
  <si>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</si>
  <si>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</si>
  <si>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</si>
  <si>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</si>
  <si>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</si>
  <si>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</si>
  <si>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</si>
  <si>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</si>
  <si>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</si>
  <si>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</si>
  <si>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</si>
  <si>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</si>
  <si>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</si>
  <si>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</si>
  <si>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</si>
  <si>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</si>
  <si>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</si>
  <si>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</si>
  <si>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</si>
  <si>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</si>
  <si>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</si>
  <si>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</si>
  <si>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</si>
  <si>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</si>
  <si>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</si>
  <si>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</si>
  <si>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</si>
  <si>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</si>
  <si>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</si>
  <si>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</si>
  <si>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</si>
  <si>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</si>
  <si>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</si>
  <si>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</si>
  <si>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</si>
  <si>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</si>
  <si>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</si>
  <si>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</si>
  <si>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</si>
  <si>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</si>
  <si>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</si>
  <si>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</si>
  <si>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</si>
  <si>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</si>
  <si>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</si>
  <si>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</si>
  <si>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</si>
  <si>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</si>
  <si>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</si>
  <si>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</si>
  <si>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</si>
  <si>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</si>
  <si>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</si>
  <si>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</si>
  <si>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</si>
  <si>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</si>
  <si>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</si>
  <si>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</si>
  <si>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</si>
  <si>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</si>
  <si>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</si>
  <si>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</si>
  <si>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</si>
  <si>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</si>
  <si>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</si>
  <si>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</si>
  <si>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</si>
  <si>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</si>
  <si>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</si>
  <si>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</si>
  <si>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</si>
  <si>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</si>
  <si>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</si>
  <si>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</si>
  <si>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</si>
  <si>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</si>
  <si>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</si>
  <si>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</si>
  <si>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</si>
  <si>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</si>
  <si>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</si>
  <si>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</si>
  <si>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</si>
  <si>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</si>
  <si>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</si>
  <si>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</si>
  <si>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</si>
  <si>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</si>
  <si>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</si>
  <si>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</si>
  <si>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</si>
  <si>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</si>
  <si>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</si>
  <si>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</si>
  <si>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</si>
  <si>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</si>
  <si>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</si>
  <si>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</si>
  <si>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</si>
  <si>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</si>
  <si>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</si>
  <si>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</si>
  <si>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</si>
  <si>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</si>
  <si>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</si>
  <si>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</si>
  <si>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</si>
  <si>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</si>
  <si>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</si>
  <si>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</si>
  <si>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</si>
  <si>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</si>
  <si>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</si>
  <si>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</si>
  <si>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</si>
  <si>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</si>
  <si>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</si>
  <si>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</si>
  <si>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</si>
  <si>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</si>
  <si>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</si>
  <si>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</si>
  <si>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</si>
  <si>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</si>
  <si>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</si>
  <si>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</si>
  <si>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</si>
  <si>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</si>
  <si>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</si>
  <si>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</si>
  <si>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</si>
  <si>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</si>
  <si>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</si>
  <si>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</si>
  <si>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</si>
  <si>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</si>
  <si>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</si>
  <si>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</si>
  <si>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</si>
  <si>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</si>
  <si>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</si>
  <si>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</si>
  <si>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</si>
  <si>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</si>
  <si>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</si>
  <si>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</si>
  <si>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</si>
  <si>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</si>
  <si>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</si>
  <si>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</si>
  <si>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</si>
  <si>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</si>
  <si>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</si>
  <si>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</si>
  <si>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</si>
  <si>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</si>
  <si>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</si>
  <si>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</si>
  <si>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</si>
  <si>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</si>
  <si>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</si>
  <si>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</si>
  <si>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</si>
  <si>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</si>
  <si>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</si>
  <si>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</si>
  <si>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</si>
  <si>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</si>
  <si>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</si>
  <si>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</si>
  <si>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</si>
  <si>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</si>
  <si>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</si>
  <si>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</si>
  <si>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</si>
  <si>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</si>
  <si>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</si>
  <si>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</si>
  <si>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</si>
  <si>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</si>
  <si>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</si>
  <si>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</si>
  <si>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</si>
  <si>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</si>
  <si>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</si>
  <si>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</si>
  <si>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</si>
  <si>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</si>
  <si>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</si>
  <si>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</si>
  <si>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</si>
  <si>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</si>
  <si>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</si>
  <si>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</si>
  <si>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</si>
  <si>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</si>
  <si>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</si>
  <si>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</si>
  <si>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</si>
  <si>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</si>
  <si>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</si>
  <si>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</si>
  <si>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</si>
  <si>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</si>
  <si>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</si>
  <si>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</si>
  <si>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</si>
  <si>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</si>
  <si>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</si>
  <si>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</si>
  <si>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</si>
  <si>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</si>
  <si>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</si>
  <si>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</si>
  <si>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</si>
  <si>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</si>
  <si>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</si>
  <si>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</si>
  <si>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</si>
  <si>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</si>
  <si>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</si>
  <si>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</si>
  <si>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</si>
  <si>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</si>
  <si>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</si>
  <si>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</si>
  <si>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</si>
  <si>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</si>
  <si>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</si>
  <si>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</si>
  <si>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</si>
  <si>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</si>
  <si>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</si>
  <si>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</si>
  <si>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</si>
  <si>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</si>
  <si>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</si>
  <si>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</si>
  <si>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</si>
  <si>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</si>
  <si>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</si>
  <si>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</si>
  <si>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</si>
  <si>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</si>
  <si>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</si>
  <si>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</si>
  <si>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</si>
  <si>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</si>
  <si>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</si>
  <si>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</si>
  <si>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</si>
  <si>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</si>
  <si>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</si>
  <si>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</si>
  <si>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</si>
  <si>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</si>
  <si>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</si>
  <si>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</si>
  <si>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</si>
  <si>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</si>
  <si>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</si>
  <si>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</si>
  <si>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</si>
  <si>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</si>
  <si>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</si>
  <si>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</si>
  <si>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</si>
  <si>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</si>
  <si>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</si>
  <si>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</si>
  <si>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</si>
  <si>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</si>
  <si>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</si>
  <si>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</si>
  <si>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</si>
  <si>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</si>
  <si>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</si>
  <si>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</si>
  <si>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</si>
  <si>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</si>
  <si>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</si>
  <si>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</si>
  <si>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</si>
  <si>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</si>
  <si>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</si>
  <si>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</si>
  <si>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</si>
  <si>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</si>
  <si>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</si>
  <si>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</si>
  <si>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</si>
  <si>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</si>
  <si>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</si>
  <si>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</si>
  <si>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</si>
  <si>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</si>
  <si>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</si>
  <si>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</si>
  <si>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</si>
  <si>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</si>
  <si>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</si>
  <si>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</si>
  <si>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</si>
  <si>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</si>
  <si>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</si>
  <si>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</si>
  <si>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</si>
  <si>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</si>
  <si>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</si>
  <si>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</si>
  <si>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</si>
  <si>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</si>
  <si>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</si>
  <si>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</si>
  <si>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</si>
  <si>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</si>
  <si>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</si>
  <si>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</si>
  <si>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</si>
  <si>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</si>
  <si>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</si>
  <si>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</si>
  <si>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</si>
  <si>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</si>
  <si>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</si>
  <si>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</si>
  <si>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</si>
  <si>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</si>
  <si>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</si>
  <si>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</si>
  <si>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</si>
  <si>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</si>
  <si>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</si>
  <si>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</si>
  <si>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</si>
  <si>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</si>
  <si>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</si>
  <si>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</si>
  <si>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</si>
  <si>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</si>
  <si>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</si>
  <si>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</si>
  <si>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</si>
  <si>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</si>
  <si>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</si>
  <si>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</si>
  <si>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</si>
  <si>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</si>
  <si>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</si>
  <si>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</si>
  <si>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</si>
  <si>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</si>
  <si>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</si>
  <si>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</si>
  <si>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</si>
  <si>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</si>
  <si>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</si>
  <si>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</si>
  <si>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</si>
  <si>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</si>
  <si>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</si>
  <si>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</si>
  <si>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</si>
  <si>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</si>
  <si>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</si>
  <si>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</si>
  <si>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</si>
  <si>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</si>
  <si>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</si>
  <si>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</si>
  <si>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</si>
  <si>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</si>
  <si>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</si>
  <si>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</si>
  <si>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</si>
  <si>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</si>
  <si>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</si>
  <si>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</si>
  <si>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</si>
  <si>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</si>
  <si>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</si>
  <si>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</si>
  <si>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</si>
  <si>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</si>
  <si>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</si>
  <si>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</si>
  <si>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</si>
  <si>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</si>
  <si>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</si>
  <si>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</si>
  <si>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</si>
  <si>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</si>
  <si>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</si>
  <si>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</si>
  <si>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</si>
  <si>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</si>
  <si>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</si>
  <si>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</si>
  <si>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</si>
  <si>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</si>
  <si>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</si>
  <si>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</si>
  <si>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</si>
  <si>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</si>
  <si>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</si>
  <si>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</si>
  <si>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</si>
  <si>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</si>
  <si>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</si>
  <si>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</si>
  <si>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</si>
  <si>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</si>
  <si>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</si>
  <si>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</si>
  <si>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</si>
  <si>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</si>
  <si>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</si>
  <si>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</si>
  <si>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</si>
  <si>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</si>
  <si>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</si>
  <si>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</si>
  <si>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</si>
  <si>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</si>
  <si>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</si>
  <si>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</si>
  <si>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</si>
  <si>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</si>
  <si>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</si>
  <si>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</si>
  <si>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</si>
  <si>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</si>
  <si>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</si>
  <si>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</si>
  <si>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</si>
  <si>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</si>
  <si>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</si>
  <si>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</si>
  <si>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</si>
  <si>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</si>
  <si>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</si>
  <si>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</si>
  <si>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</si>
  <si>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</si>
  <si>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</si>
  <si>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</si>
  <si>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</si>
  <si>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</si>
  <si>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</si>
  <si>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</si>
  <si>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</si>
  <si>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</si>
  <si>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</si>
  <si>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</si>
  <si>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</si>
  <si>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</si>
  <si>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</si>
  <si>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</si>
  <si>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</si>
  <si>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</si>
  <si>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</si>
  <si>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</si>
  <si>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</si>
  <si>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</si>
  <si>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</si>
  <si>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</si>
  <si>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</si>
  <si>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</si>
  <si>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</si>
  <si>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</si>
  <si>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</si>
  <si>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</si>
  <si>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</si>
  <si>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</si>
  <si>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</si>
  <si>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</si>
  <si>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</si>
  <si>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</si>
  <si>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</si>
  <si>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</si>
  <si>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</si>
  <si>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</si>
  <si>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</si>
  <si>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</si>
  <si>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</si>
  <si>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</si>
  <si>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</si>
  <si>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</si>
  <si>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</si>
  <si>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</si>
  <si>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</si>
  <si>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</si>
  <si>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</si>
  <si>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</si>
  <si>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</si>
  <si>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</si>
  <si>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</si>
  <si>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</si>
  <si>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</si>
  <si>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</si>
  <si>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</si>
  <si>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</si>
  <si>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</si>
  <si>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</si>
  <si>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</si>
  <si>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</si>
  <si>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</si>
  <si>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</si>
  <si>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</si>
  <si>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</si>
  <si>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</si>
  <si>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</si>
  <si>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</si>
  <si>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</si>
  <si>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</si>
  <si>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</si>
  <si>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</si>
  <si>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</si>
  <si>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</si>
  <si>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</si>
  <si>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</si>
  <si>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</si>
  <si>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</si>
  <si>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</si>
  <si>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</si>
  <si>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</si>
  <si>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</si>
  <si>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</si>
  <si>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</si>
  <si>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</si>
  <si>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</si>
  <si>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</si>
  <si>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</si>
  <si>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</si>
  <si>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</si>
  <si>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</si>
  <si>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</si>
  <si>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</si>
  <si>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</si>
  <si>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</si>
  <si>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</si>
  <si>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</si>
  <si>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</si>
  <si>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</si>
  <si>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</si>
  <si>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</si>
  <si>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</si>
  <si>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</si>
  <si>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</si>
  <si>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</si>
  <si>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</si>
  <si>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</si>
  <si>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</si>
  <si>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</si>
  <si>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</si>
  <si>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</si>
  <si>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</si>
  <si>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</si>
  <si>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</si>
  <si>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</si>
  <si>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</si>
  <si>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</si>
  <si>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</si>
  <si>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</si>
  <si>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</si>
  <si>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</si>
  <si>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</si>
  <si>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</si>
  <si>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</si>
  <si>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</si>
  <si>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</si>
  <si>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</si>
  <si>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</si>
  <si>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</si>
  <si>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</si>
  <si>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</si>
  <si>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</si>
  <si>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</si>
  <si>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</si>
  <si>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</si>
  <si>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</si>
  <si>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</si>
  <si>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</si>
  <si>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</si>
  <si>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</si>
  <si>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</si>
  <si>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</si>
  <si>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</si>
  <si>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</si>
  <si>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</si>
  <si>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</si>
  <si>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</si>
  <si>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</si>
  <si>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</si>
  <si>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</si>
  <si>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</si>
  <si>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</si>
  <si>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</si>
  <si>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</si>
  <si>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</si>
  <si>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</si>
  <si>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</si>
  <si>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</si>
  <si>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</si>
  <si>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</si>
  <si>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</si>
  <si>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</si>
  <si>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</si>
  <si>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</si>
  <si>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</si>
  <si>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</si>
  <si>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</si>
  <si>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</si>
  <si>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</si>
  <si>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</si>
  <si>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</si>
  <si>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</si>
  <si>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</si>
  <si>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</si>
  <si>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</si>
  <si>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</si>
  <si>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</si>
  <si>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</si>
  <si>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</si>
  <si>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</si>
  <si>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</si>
  <si>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</si>
  <si>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</si>
  <si>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</si>
  <si>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</si>
  <si>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</si>
  <si>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</si>
  <si>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</si>
  <si>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</si>
  <si>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</si>
  <si>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</si>
  <si>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</si>
  <si>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</si>
  <si>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</si>
  <si>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</si>
  <si>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</si>
  <si>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</si>
  <si>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</si>
  <si>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</si>
  <si>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</si>
  <si>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</si>
  <si>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</si>
  <si>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</si>
  <si>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</si>
  <si>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</si>
  <si>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</si>
  <si>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</si>
  <si>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</si>
  <si>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</si>
  <si>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</si>
  <si>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</si>
  <si>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</si>
  <si>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</si>
  <si>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</si>
  <si>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</si>
  <si>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</si>
  <si>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</si>
  <si>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</si>
  <si>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</si>
  <si>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</si>
  <si>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</si>
  <si>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</si>
  <si>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</si>
  <si>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</si>
  <si>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</si>
  <si>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</si>
  <si>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</si>
  <si>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</si>
  <si>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</si>
  <si>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</si>
  <si>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</si>
  <si>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</si>
  <si>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</si>
  <si>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</si>
  <si>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</si>
  <si>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</si>
  <si>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</si>
  <si>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</si>
  <si>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</si>
  <si>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</si>
  <si>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</si>
  <si>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</si>
  <si>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</si>
  <si>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</si>
  <si>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</si>
  <si>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</si>
  <si>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</si>
  <si>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</si>
  <si>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</si>
  <si>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</si>
  <si>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</si>
  <si>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</si>
  <si>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</si>
  <si>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</si>
  <si>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</si>
  <si>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</si>
  <si>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</si>
  <si>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</si>
  <si>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</si>
  <si>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</si>
  <si>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</si>
  <si>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</si>
  <si>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</si>
  <si>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</si>
  <si>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</si>
  <si>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</si>
  <si>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</si>
  <si>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</si>
  <si>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</si>
  <si>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</si>
  <si>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</si>
  <si>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</si>
  <si>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</si>
  <si>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</si>
  <si>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</si>
  <si>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</si>
  <si>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</si>
  <si>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</si>
  <si>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</si>
  <si>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</si>
  <si>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</si>
  <si>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</si>
  <si>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</si>
  <si>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</si>
  <si>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</si>
  <si>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</si>
  <si>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</si>
  <si>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</si>
  <si>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</si>
  <si>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</si>
  <si>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</si>
  <si>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</si>
  <si>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</si>
  <si>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</si>
  <si>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</si>
  <si>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</si>
  <si>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</si>
  <si>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</si>
  <si>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</si>
  <si>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</si>
  <si>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</si>
  <si>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</si>
  <si>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</si>
  <si>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</si>
  <si>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</si>
  <si>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</si>
  <si>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</si>
  <si>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</si>
  <si>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</si>
  <si>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</si>
  <si>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</si>
  <si>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</si>
  <si>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</si>
  <si>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</si>
  <si>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</si>
  <si>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</si>
  <si>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</si>
  <si>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</si>
  <si>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</si>
  <si>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</si>
  <si>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</si>
  <si>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</si>
  <si>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</si>
  <si>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</si>
  <si>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</si>
  <si>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</si>
  <si>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</si>
  <si>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</si>
  <si>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</si>
  <si>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</si>
  <si>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</si>
  <si>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</si>
  <si>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</si>
  <si>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</si>
  <si>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</si>
  <si>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</si>
  <si>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</si>
  <si>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</si>
  <si>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</si>
  <si>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</si>
  <si>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</si>
  <si>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</si>
  <si>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</si>
  <si>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</si>
  <si>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</si>
  <si>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</si>
  <si>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</si>
  <si>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</si>
  <si>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</si>
  <si>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</si>
  <si>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</si>
  <si>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</si>
  <si>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</si>
  <si>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</si>
  <si>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</si>
  <si>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</si>
  <si>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</si>
  <si>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</si>
  <si>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</si>
  <si>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</si>
  <si>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</si>
  <si>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</si>
  <si>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</si>
  <si>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</si>
  <si>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</si>
  <si>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</si>
  <si>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</si>
  <si>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</si>
  <si>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</si>
  <si>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</si>
  <si>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</si>
  <si>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</si>
  <si>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</si>
  <si>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</si>
  <si>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</si>
  <si>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</si>
  <si>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</si>
  <si>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</si>
  <si>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</si>
  <si>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</si>
  <si>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</si>
  <si>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</si>
  <si>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</si>
  <si>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</si>
  <si>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</si>
  <si>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</si>
  <si>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</si>
  <si>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</si>
  <si>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</si>
  <si>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</si>
  <si>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</si>
  <si>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</si>
  <si>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</si>
  <si>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</si>
  <si>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</si>
  <si>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</si>
  <si>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</si>
  <si>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</si>
  <si>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</si>
  <si>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</si>
  <si>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</si>
  <si>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</si>
  <si>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</si>
  <si>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</si>
  <si>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</si>
  <si>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</si>
  <si>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</si>
  <si>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</si>
  <si>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</si>
  <si>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</si>
  <si>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</si>
  <si>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</si>
  <si>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</si>
  <si>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</si>
  <si>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</si>
  <si>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</si>
  <si>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</si>
  <si>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</si>
  <si>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</si>
  <si>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</si>
  <si>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</si>
  <si>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</si>
  <si>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</si>
  <si>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</si>
  <si>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</si>
  <si>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</si>
  <si>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</si>
  <si>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</si>
  <si>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</si>
  <si>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</si>
  <si>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</si>
  <si>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</si>
  <si>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</si>
  <si>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</si>
  <si>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</si>
  <si>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</si>
  <si>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</si>
  <si>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</si>
  <si>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</si>
  <si>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</si>
  <si>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</si>
  <si>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</si>
  <si>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</si>
  <si>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</si>
  <si>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</si>
  <si>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</si>
  <si>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</si>
  <si>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</si>
  <si>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</si>
  <si>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</si>
  <si>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</si>
  <si>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</si>
  <si>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</si>
  <si>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</si>
  <si>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</si>
  <si>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</si>
  <si>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</si>
  <si>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</si>
  <si>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</si>
  <si>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</si>
  <si>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</si>
  <si>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</si>
  <si>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</si>
  <si>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</si>
  <si>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</si>
  <si>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</si>
  <si>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</si>
  <si>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</si>
  <si>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</si>
  <si>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</si>
  <si>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</si>
  <si>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</si>
  <si>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</si>
  <si>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</si>
  <si>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</si>
  <si>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</si>
  <si>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</si>
  <si>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</si>
  <si>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</si>
  <si>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</si>
  <si>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</si>
  <si>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</si>
  <si>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</si>
  <si>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</si>
  <si>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</si>
  <si>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</si>
  <si>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</si>
  <si>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</si>
  <si>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</si>
  <si>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</si>
  <si>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</si>
  <si>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</si>
  <si>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</si>
  <si>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</si>
  <si>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</si>
  <si>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</si>
  <si>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</si>
  <si>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</si>
  <si>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</si>
  <si>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</si>
  <si>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</si>
  <si>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</si>
  <si>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</si>
  <si>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</si>
  <si>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</si>
  <si>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</si>
  <si>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</si>
  <si>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</si>
  <si>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</si>
  <si>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</si>
  <si>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</si>
  <si>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</si>
  <si>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</si>
  <si>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</si>
  <si>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</si>
  <si>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</si>
  <si>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</si>
  <si>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</si>
  <si>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</si>
  <si>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</si>
  <si>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</si>
  <si>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</si>
  <si>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</si>
  <si>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</si>
  <si>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</si>
  <si>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</si>
  <si>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</si>
  <si>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</si>
  <si>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</si>
  <si>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</si>
  <si>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</si>
  <si>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</si>
  <si>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</si>
  <si>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</si>
  <si>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</si>
  <si>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</si>
  <si>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</si>
  <si>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</si>
  <si>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</si>
  <si>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</si>
  <si>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</si>
  <si>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</si>
  <si>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</si>
  <si>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</si>
  <si>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</si>
  <si>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</si>
  <si>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</si>
  <si>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</si>
  <si>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</si>
  <si>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</si>
  <si>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</si>
  <si>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</si>
  <si>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</si>
  <si>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</si>
  <si>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</si>
  <si>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</si>
  <si>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</si>
  <si>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</si>
  <si>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</si>
  <si>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</si>
  <si>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</si>
  <si>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</si>
  <si>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</si>
  <si>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</si>
  <si>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</si>
  <si>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</si>
  <si>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</si>
  <si>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</si>
  <si>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</si>
  <si>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</si>
  <si>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</si>
  <si>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</si>
  <si>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</si>
  <si>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</si>
  <si>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</si>
  <si>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</si>
  <si>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</si>
  <si>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</si>
  <si>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</si>
  <si>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</si>
  <si>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</si>
  <si>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</si>
  <si>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</si>
  <si>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</si>
  <si>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</si>
  <si>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</si>
  <si>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</si>
  <si>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</si>
  <si>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</si>
  <si>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</si>
  <si>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</si>
  <si>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</si>
  <si>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</si>
  <si>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</si>
  <si>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</si>
  <si>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</si>
  <si>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</si>
  <si>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</si>
  <si>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</si>
  <si>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</si>
  <si>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</si>
  <si>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</si>
  <si>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</si>
  <si>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</si>
  <si>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</si>
  <si>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</si>
  <si>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</si>
  <si>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</si>
  <si>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</si>
  <si>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</si>
  <si>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</si>
  <si>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</si>
  <si>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</si>
  <si>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</si>
  <si>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</si>
  <si>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</si>
  <si>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</si>
  <si>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</si>
  <si>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</si>
  <si>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</si>
  <si>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</si>
  <si>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</si>
  <si>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</si>
  <si>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</si>
  <si>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</si>
  <si>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</si>
  <si>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</si>
  <si>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</si>
  <si>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</si>
  <si>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</si>
  <si>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</si>
  <si>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</si>
  <si>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</si>
  <si>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</si>
  <si>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</si>
  <si>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</si>
  <si>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</si>
  <si>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</si>
  <si>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</si>
  <si>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</si>
  <si>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</si>
  <si>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</si>
  <si>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</si>
  <si>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</si>
  <si>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</si>
  <si>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</si>
  <si>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</si>
  <si>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</si>
  <si>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</si>
  <si>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</si>
  <si>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</si>
  <si>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</si>
  <si>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</si>
  <si>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</si>
  <si>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</si>
  <si>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</si>
  <si>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</si>
  <si>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</si>
  <si>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</si>
  <si>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</si>
  <si>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</si>
  <si>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</si>
  <si>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</si>
  <si>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</si>
  <si>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</si>
  <si>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</si>
  <si>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</si>
  <si>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</si>
  <si>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</si>
  <si>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</si>
  <si>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</si>
  <si>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</si>
  <si>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</si>
  <si>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</si>
  <si>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</si>
  <si>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</si>
  <si>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</si>
  <si>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</si>
  <si>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</si>
  <si>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</si>
  <si>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</si>
  <si>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</si>
  <si>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</si>
  <si>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</si>
  <si>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</si>
  <si>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</si>
  <si>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</si>
  <si>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</si>
  <si>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</si>
  <si>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</si>
  <si>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</si>
  <si>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</si>
  <si>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</si>
  <si>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</si>
  <si>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</si>
  <si>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</si>
  <si>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</si>
  <si>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</si>
  <si>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</si>
  <si>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</si>
  <si>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</si>
  <si>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</si>
  <si>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</si>
  <si>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</si>
  <si>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</si>
  <si>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</si>
  <si>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</si>
  <si>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</si>
  <si>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</si>
  <si>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</si>
  <si>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</si>
  <si>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</si>
  <si>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</si>
  <si>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</si>
  <si>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</si>
  <si>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</si>
  <si>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</si>
  <si>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</si>
  <si>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</si>
  <si>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</si>
  <si>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</si>
  <si>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</si>
  <si>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</si>
  <si>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</si>
  <si>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</si>
  <si>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</si>
  <si>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</si>
  <si>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</si>
  <si>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</si>
  <si>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</si>
  <si>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</si>
  <si>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</si>
  <si>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</si>
  <si>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</si>
  <si>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</si>
  <si>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</si>
  <si>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</si>
  <si>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</si>
  <si>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</si>
  <si>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</si>
  <si>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</si>
  <si>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</si>
  <si>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</si>
  <si>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</si>
  <si>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</si>
  <si>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</si>
  <si>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</si>
  <si>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</si>
  <si>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</si>
  <si>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</si>
  <si>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</si>
  <si>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</si>
  <si>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</si>
  <si>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</si>
  <si>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</si>
  <si>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</si>
  <si>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</si>
  <si>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</si>
  <si>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</si>
  <si>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</si>
  <si>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</si>
  <si>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</si>
  <si>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</si>
  <si>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</si>
  <si>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</si>
  <si>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</si>
  <si>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</si>
  <si>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</si>
  <si>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</si>
  <si>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</si>
  <si>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</si>
  <si>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</si>
  <si>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</si>
  <si>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</si>
  <si>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</si>
  <si>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</si>
  <si>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</si>
  <si>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</si>
  <si>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</si>
  <si>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</si>
  <si>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</si>
  <si>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</si>
  <si>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</si>
  <si>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</si>
  <si>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</si>
  <si>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</si>
  <si>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</si>
  <si>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</si>
  <si>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</si>
  <si>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</si>
  <si>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</si>
  <si>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</si>
  <si>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</si>
  <si>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</si>
  <si>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</si>
  <si>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</si>
  <si>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</si>
  <si>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</si>
  <si>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</si>
  <si>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</si>
  <si>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</si>
  <si>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</si>
  <si>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</si>
  <si>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</si>
  <si>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</si>
  <si>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</si>
  <si>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</si>
  <si>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</si>
  <si>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</si>
  <si>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</si>
  <si>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</si>
  <si>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</si>
  <si>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</si>
  <si>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</si>
  <si>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</si>
  <si>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</si>
  <si>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</si>
  <si>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</si>
  <si>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</si>
  <si>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</si>
  <si>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</si>
  <si>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</si>
  <si>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</si>
  <si>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</si>
  <si>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</si>
  <si>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</si>
  <si>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</si>
  <si>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</si>
  <si>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</si>
  <si>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</si>
  <si>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</si>
  <si>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</si>
  <si>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</si>
  <si>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</si>
  <si>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</si>
  <si>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</si>
  <si>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</si>
  <si>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</si>
  <si>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</si>
  <si>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</si>
  <si>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</si>
  <si>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</si>
  <si>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</si>
  <si>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</si>
  <si>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</si>
  <si>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</si>
  <si>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</si>
  <si>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</si>
  <si>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</si>
  <si>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</si>
  <si>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</si>
  <si>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</si>
  <si>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</si>
  <si>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</si>
  <si>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</si>
  <si>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</si>
  <si>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</si>
  <si>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</si>
  <si>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</si>
  <si>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</si>
  <si>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</si>
  <si>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</si>
  <si>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</si>
  <si>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</si>
  <si>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</si>
  <si>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</si>
  <si>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</si>
  <si>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</si>
  <si>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</si>
  <si>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</si>
  <si>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</si>
  <si>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</si>
  <si>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</si>
  <si>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</si>
  <si>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</si>
  <si>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</si>
  <si>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</si>
  <si>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</si>
  <si>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</si>
  <si>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</si>
  <si>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</si>
  <si>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</si>
  <si>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</si>
  <si>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</si>
  <si>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</si>
  <si>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</si>
  <si>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</si>
  <si>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</si>
  <si>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</si>
  <si>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</si>
  <si>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</si>
  <si>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</si>
  <si>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</si>
  <si>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</si>
  <si>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</si>
  <si>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</si>
  <si>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</si>
  <si>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</si>
  <si>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</si>
  <si>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</si>
  <si>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</si>
  <si>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</si>
  <si>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</si>
  <si>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</si>
  <si>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</si>
  <si>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</si>
  <si>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</si>
  <si>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</si>
  <si>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</si>
  <si>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</si>
  <si>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</si>
  <si>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</si>
  <si>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</si>
  <si>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</si>
  <si>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</si>
  <si>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</si>
  <si>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</si>
  <si>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</si>
  <si>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</si>
  <si>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</si>
  <si>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</si>
  <si>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</si>
  <si>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</si>
  <si>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</si>
  <si>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</si>
  <si>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</si>
  <si>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</si>
  <si>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</si>
  <si>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</si>
  <si>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</si>
  <si>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</si>
  <si>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</si>
  <si>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</si>
  <si>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</si>
  <si>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</si>
  <si>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</si>
  <si>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</si>
  <si>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</si>
  <si>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</si>
  <si>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</si>
  <si>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</si>
  <si>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</si>
  <si>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</si>
  <si>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</si>
  <si>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</si>
  <si>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</si>
  <si>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</si>
  <si>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</si>
  <si>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</si>
  <si>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</si>
  <si>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</si>
  <si>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</si>
  <si>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</si>
  <si>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</si>
  <si>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</si>
  <si>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</si>
  <si>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</si>
  <si>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</si>
  <si>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</si>
  <si>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</si>
  <si>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</si>
  <si>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</si>
  <si>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</si>
  <si>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</si>
  <si>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</si>
  <si>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</si>
  <si>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</si>
  <si>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</si>
  <si>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</si>
  <si>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</si>
  <si>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</si>
  <si>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</si>
  <si>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</si>
  <si>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</si>
  <si>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</si>
  <si>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</si>
  <si>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</si>
  <si>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</si>
  <si>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</si>
  <si>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</si>
  <si>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</si>
  <si>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</si>
  <si>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</si>
  <si>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</si>
  <si>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</si>
  <si>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</si>
  <si>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</si>
  <si>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</si>
  <si>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</si>
  <si>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</si>
  <si>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</si>
  <si>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</si>
  <si>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</si>
  <si>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</si>
  <si>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</si>
  <si>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</si>
  <si>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</si>
  <si>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</si>
  <si>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</si>
  <si>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</si>
  <si>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</si>
  <si>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</si>
  <si>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</si>
  <si>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</si>
  <si>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</si>
  <si>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</si>
  <si>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</si>
  <si>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</si>
  <si>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</si>
  <si>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</si>
  <si>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</si>
  <si>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</si>
  <si>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</si>
  <si>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</si>
  <si>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</si>
  <si>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</si>
  <si>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</si>
  <si>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</si>
  <si>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</si>
  <si>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</si>
  <si>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</si>
  <si>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</si>
  <si>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</si>
  <si>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</si>
  <si>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</si>
  <si>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</si>
  <si>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</si>
  <si>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</si>
  <si>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</si>
  <si>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</si>
  <si>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</si>
  <si>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</si>
  <si>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</si>
  <si>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</si>
  <si>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</si>
  <si>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</si>
  <si>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</si>
  <si>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</si>
  <si>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</si>
  <si>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</si>
  <si>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</si>
  <si>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</si>
  <si>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</si>
  <si>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</si>
  <si>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</si>
  <si>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</si>
  <si>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</si>
  <si>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</si>
  <si>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</si>
  <si>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</si>
  <si>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</si>
  <si>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</si>
  <si>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</si>
  <si>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</si>
  <si>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</si>
  <si>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</si>
  <si>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</si>
  <si>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</si>
  <si>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</si>
  <si>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</si>
  <si>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</si>
  <si>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</si>
  <si>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</si>
  <si>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</si>
  <si>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</si>
  <si>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</si>
  <si>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</si>
  <si>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</si>
  <si>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</si>
  <si>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</si>
  <si>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</si>
  <si>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</si>
  <si>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</si>
  <si>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</si>
  <si>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</si>
  <si>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</si>
  <si>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</si>
  <si>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</si>
  <si>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</si>
  <si>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</si>
  <si>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</si>
  <si>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</si>
  <si>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</si>
  <si>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</si>
  <si>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</si>
  <si>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</si>
  <si>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</si>
  <si>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</si>
  <si>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</si>
  <si>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</si>
  <si>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</si>
  <si>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</si>
  <si>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</si>
  <si>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</si>
  <si>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</si>
  <si>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</si>
  <si>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</si>
  <si>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</si>
  <si>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</si>
  <si>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</si>
  <si>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</si>
  <si>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</si>
  <si>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</si>
  <si>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</si>
  <si>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</si>
  <si>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</si>
  <si>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</si>
  <si>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</si>
  <si>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</si>
  <si>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</si>
  <si>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</si>
  <si>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</si>
  <si>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</si>
  <si>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</si>
  <si>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</si>
  <si>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</si>
  <si>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</si>
  <si>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</si>
  <si>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</si>
  <si>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</si>
  <si>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</si>
  <si>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</si>
  <si>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</si>
  <si>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</si>
  <si>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</si>
  <si>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</si>
  <si>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</si>
  <si>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</si>
  <si>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</si>
  <si>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</si>
  <si>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</si>
  <si>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</si>
  <si>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</si>
  <si>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</si>
  <si>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</si>
  <si>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</si>
  <si>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</si>
  <si>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</si>
  <si>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</si>
  <si>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</si>
  <si>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</si>
  <si>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</si>
  <si>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</si>
  <si>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</si>
  <si>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</si>
  <si>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</si>
  <si>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</si>
  <si>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</si>
  <si>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</si>
  <si>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</si>
  <si>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</si>
  <si>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</si>
  <si>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</si>
  <si>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</si>
  <si>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</si>
  <si>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</si>
  <si>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</si>
  <si>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</si>
  <si>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</si>
  <si>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</si>
  <si>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</si>
  <si>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</si>
  <si>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</si>
  <si>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</si>
  <si>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</si>
  <si>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</si>
  <si>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</si>
  <si>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</si>
  <si>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</si>
  <si>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</si>
  <si>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</si>
  <si>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</si>
  <si>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</si>
  <si>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</si>
  <si>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</si>
  <si>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</si>
  <si>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</si>
  <si>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</si>
  <si>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</si>
  <si>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</si>
  <si>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</si>
  <si>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</si>
  <si>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</si>
  <si>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</si>
  <si>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</si>
  <si>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</si>
  <si>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</si>
  <si>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</si>
  <si>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</si>
  <si>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</si>
  <si>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</si>
  <si>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</si>
  <si>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</si>
  <si>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</si>
  <si>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</si>
  <si>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</si>
  <si>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</si>
  <si>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</si>
  <si>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</si>
  <si>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</si>
  <si>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</si>
  <si>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</si>
  <si>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</si>
  <si>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</si>
  <si>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</si>
  <si>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</si>
  <si>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</si>
  <si>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</si>
  <si>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</si>
  <si>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</si>
  <si>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</si>
  <si>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</si>
  <si>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</si>
  <si>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</si>
  <si>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</si>
  <si>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</si>
  <si>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</si>
  <si>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</si>
  <si>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</si>
  <si>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</si>
  <si>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</si>
  <si>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</si>
  <si>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</si>
  <si>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</si>
  <si>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</si>
  <si>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</si>
  <si>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</si>
  <si>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</si>
  <si>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</si>
  <si>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</si>
  <si>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</si>
  <si>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</si>
  <si>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</si>
  <si>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</si>
  <si>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</si>
  <si>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</si>
  <si>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</si>
  <si>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</si>
  <si>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</si>
  <si>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</si>
  <si>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</si>
  <si>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</si>
  <si>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</si>
  <si>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</si>
  <si>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</si>
  <si>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</si>
  <si>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</si>
  <si>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</si>
  <si>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</si>
  <si>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</si>
  <si>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</si>
  <si>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</si>
  <si>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</si>
  <si>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</si>
  <si>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</si>
  <si>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</si>
  <si>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</si>
  <si>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</si>
  <si>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</si>
  <si>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</si>
  <si>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</si>
  <si>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</si>
  <si>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</si>
  <si>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</si>
  <si>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</si>
  <si>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</si>
  <si>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</si>
  <si>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</si>
  <si>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</si>
  <si>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</si>
  <si>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</si>
  <si>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</si>
  <si>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</si>
  <si>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</si>
  <si>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</si>
  <si>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</si>
  <si>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</si>
  <si>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</si>
  <si>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</si>
  <si>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</si>
  <si>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</si>
  <si>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</si>
  <si>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</si>
  <si>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</si>
  <si>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</si>
  <si>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</si>
  <si>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</si>
  <si>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</si>
  <si>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</si>
  <si>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</si>
  <si>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</si>
  <si>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</si>
  <si>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</si>
  <si>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</si>
  <si>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</si>
  <si>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</si>
  <si>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</si>
  <si>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</si>
  <si>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</si>
  <si>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</si>
  <si>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</si>
  <si>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</si>
  <si>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</si>
  <si>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</si>
  <si>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</si>
  <si>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</si>
  <si>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</si>
  <si>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</si>
  <si>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</si>
  <si>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</si>
  <si>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</si>
  <si>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</si>
  <si>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</si>
  <si>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</si>
  <si>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</si>
  <si>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</si>
  <si>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</si>
  <si>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</si>
  <si>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</si>
  <si>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</si>
  <si>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</si>
  <si>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</si>
  <si>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</si>
  <si>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</si>
  <si>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</si>
  <si>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</si>
  <si>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</si>
  <si>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</si>
  <si>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</si>
  <si>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</si>
  <si>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</si>
  <si>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</si>
  <si>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</si>
  <si>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</si>
  <si>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</si>
  <si>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</si>
  <si>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</si>
  <si>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</si>
  <si>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</si>
  <si>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</si>
  <si>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</si>
  <si>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</si>
  <si>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</si>
  <si>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</si>
  <si>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</si>
  <si>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</si>
  <si>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</si>
  <si>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</si>
  <si>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</si>
  <si>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</si>
  <si>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</si>
  <si>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</si>
  <si>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</si>
  <si>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</si>
  <si>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</si>
  <si>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</si>
  <si>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</si>
  <si>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</si>
  <si>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</si>
  <si>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</si>
  <si>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</si>
  <si>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</si>
  <si>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</si>
  <si>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</si>
  <si>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</si>
  <si>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</si>
  <si>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</si>
  <si>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</si>
  <si>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</si>
  <si>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</si>
  <si>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</si>
  <si>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</si>
  <si>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</si>
  <si>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</si>
  <si>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</si>
  <si>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</si>
  <si>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</si>
  <si>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</si>
  <si>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</si>
  <si>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</si>
  <si>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</si>
  <si>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</si>
  <si>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</si>
  <si>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</si>
  <si>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</si>
  <si>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</si>
  <si>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</si>
  <si>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</si>
  <si>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</si>
  <si>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</si>
  <si>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</si>
  <si>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</si>
  <si>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</si>
  <si>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</si>
  <si>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</si>
  <si>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</si>
  <si>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</si>
  <si>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</si>
  <si>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</si>
  <si>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</si>
  <si>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</si>
  <si>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</si>
  <si>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</si>
  <si>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</si>
  <si>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</si>
  <si>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</si>
  <si>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</si>
  <si>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</si>
  <si>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</si>
  <si>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</si>
  <si>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</si>
  <si>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</si>
  <si>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</si>
  <si>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</si>
  <si>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</si>
  <si>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</si>
  <si>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</si>
  <si>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</si>
  <si>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</si>
  <si>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</si>
  <si>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</si>
  <si>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</si>
  <si>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</si>
  <si>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</si>
  <si>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</si>
  <si>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</si>
  <si>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</si>
  <si>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</si>
  <si>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</si>
  <si>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</si>
  <si>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</si>
  <si>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</si>
  <si>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</si>
  <si>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</si>
  <si>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</si>
  <si>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</si>
  <si>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</si>
  <si>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</si>
  <si>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</si>
  <si>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</si>
  <si>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</si>
  <si>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</si>
  <si>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</si>
  <si>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</si>
  <si>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</si>
  <si>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</si>
  <si>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</si>
  <si>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</si>
  <si>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</si>
  <si>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</si>
  <si>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</si>
  <si>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</si>
  <si>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</si>
  <si>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</si>
  <si>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</si>
  <si>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</si>
  <si>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</si>
  <si>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</si>
  <si>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</si>
  <si>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</si>
  <si>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</si>
  <si>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</si>
  <si>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</si>
  <si>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</si>
  <si>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</si>
  <si>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</si>
  <si>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</si>
  <si>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</si>
  <si>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</si>
  <si>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</si>
  <si>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</si>
  <si>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</si>
  <si>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</si>
  <si>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</si>
  <si>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</si>
  <si>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</si>
  <si>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</si>
  <si>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</si>
  <si>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</si>
  <si>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</si>
  <si>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</si>
  <si>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</si>
  <si>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</si>
  <si>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</si>
  <si>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</si>
  <si>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</si>
  <si>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</si>
  <si>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</si>
  <si>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</si>
  <si>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</si>
  <si>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</si>
  <si>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</si>
  <si>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</si>
  <si>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</si>
  <si>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</si>
  <si>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</si>
  <si>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</si>
  <si>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</si>
  <si>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</si>
  <si>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</si>
  <si>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</si>
  <si>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</si>
  <si>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</si>
  <si>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</si>
  <si>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</si>
  <si>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</si>
  <si>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</si>
  <si>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</si>
  <si>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</si>
  <si>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</si>
  <si>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</si>
  <si>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</si>
  <si>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</si>
  <si>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</si>
  <si>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</si>
  <si>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</si>
  <si>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</si>
  <si>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</si>
  <si>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</si>
  <si>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</si>
  <si>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</si>
  <si>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</si>
  <si>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</si>
  <si>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</si>
  <si>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</si>
  <si>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</si>
  <si>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</si>
  <si>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</si>
  <si>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</si>
  <si>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</si>
  <si>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</si>
  <si>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</si>
  <si>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</si>
  <si>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</si>
  <si>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</si>
  <si>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</si>
  <si>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</si>
  <si>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</si>
  <si>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</si>
  <si>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</si>
  <si>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</si>
  <si>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</si>
  <si>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</si>
  <si>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</si>
  <si>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</si>
  <si>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</si>
  <si>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</si>
  <si>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</si>
  <si>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</si>
  <si>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</si>
  <si>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</si>
  <si>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</si>
  <si>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</si>
  <si>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</si>
  <si>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</si>
  <si>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</si>
  <si>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</si>
  <si>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</si>
  <si>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</si>
  <si>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</si>
  <si>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</si>
  <si>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</si>
  <si>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</si>
  <si>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</si>
  <si>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</si>
  <si>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</si>
  <si>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</si>
  <si>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</si>
  <si>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</si>
  <si>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</si>
  <si>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</si>
  <si>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</si>
  <si>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</si>
  <si>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</si>
  <si>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</si>
  <si>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</si>
  <si>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</si>
  <si>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</si>
  <si>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</si>
  <si>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</si>
  <si>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</si>
  <si>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</si>
  <si>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</si>
  <si>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</si>
  <si>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</si>
  <si>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</si>
  <si>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</si>
  <si>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</si>
  <si>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</si>
  <si>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</si>
  <si>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</si>
  <si>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</si>
  <si>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</si>
  <si>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</si>
  <si>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</si>
  <si>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</si>
  <si>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</si>
  <si>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</si>
  <si>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</si>
  <si>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</si>
  <si>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</si>
  <si>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</si>
  <si>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</si>
  <si>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</si>
  <si>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</si>
  <si>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</si>
  <si>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</si>
  <si>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</si>
  <si>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</si>
  <si>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</si>
  <si>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</si>
  <si>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</si>
  <si>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</si>
  <si>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</si>
  <si>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</si>
  <si>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</si>
  <si>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</si>
  <si>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</si>
  <si>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</si>
  <si>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</si>
  <si>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</si>
  <si>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</si>
  <si>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</si>
  <si>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</si>
  <si>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</si>
  <si>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</si>
  <si>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</si>
  <si>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</si>
  <si>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</si>
  <si>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</si>
  <si>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</si>
  <si>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</si>
  <si>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</si>
  <si>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</si>
  <si>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</si>
  <si>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</si>
  <si>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</si>
  <si>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</si>
  <si>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</si>
  <si>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</si>
  <si>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</si>
  <si>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</si>
  <si>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</si>
  <si>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</si>
  <si>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</si>
  <si>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</si>
  <si>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</si>
  <si>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</si>
  <si>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</si>
  <si>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</si>
  <si>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</si>
  <si>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</si>
  <si>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</si>
  <si>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</si>
  <si>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</si>
  <si>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</si>
  <si>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</si>
  <si>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</si>
  <si>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</si>
  <si>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</si>
  <si>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</si>
  <si>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</si>
  <si>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</si>
  <si>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</si>
  <si>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</si>
  <si>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</si>
  <si>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</si>
  <si>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</si>
  <si>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</si>
  <si>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</si>
  <si>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</si>
  <si>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</si>
  <si>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</si>
  <si>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</si>
  <si>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</si>
  <si>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</si>
  <si>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</si>
  <si>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</si>
  <si>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</si>
  <si>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</si>
  <si>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</si>
  <si>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</si>
  <si>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</si>
  <si>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</si>
  <si>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</si>
  <si>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</si>
  <si>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</si>
  <si>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</si>
  <si>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</si>
  <si>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</si>
  <si>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</si>
  <si>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</si>
  <si>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</si>
  <si>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</si>
  <si>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</si>
  <si>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</si>
  <si>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</si>
  <si>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</si>
  <si>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</si>
  <si>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</si>
  <si>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</si>
  <si>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</si>
  <si>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</si>
  <si>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</si>
  <si>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</si>
  <si>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</si>
  <si>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</si>
  <si>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</si>
  <si>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</si>
  <si>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</si>
  <si>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</si>
  <si>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</si>
  <si>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</si>
  <si>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</si>
  <si>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</si>
  <si>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</si>
  <si>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</si>
  <si>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</si>
  <si>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</si>
  <si>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</si>
  <si>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</si>
  <si>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</si>
  <si>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</si>
  <si>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</si>
  <si>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</si>
  <si>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</si>
  <si>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</si>
  <si>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</si>
  <si>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</si>
  <si>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</si>
  <si>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</si>
  <si>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</si>
  <si>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</si>
  <si>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</si>
  <si>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</si>
  <si>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</si>
  <si>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</si>
  <si>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</si>
  <si>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</si>
  <si>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</si>
  <si>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</si>
  <si>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</si>
  <si>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</si>
  <si>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</si>
  <si>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</si>
  <si>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</si>
  <si>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</si>
  <si>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</si>
  <si>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</si>
  <si>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</si>
  <si>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</si>
  <si>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</si>
  <si>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</si>
  <si>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</si>
  <si>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</si>
  <si>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</si>
  <si>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</si>
  <si>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</si>
  <si>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</si>
  <si>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</si>
  <si>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</si>
  <si>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</si>
  <si>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</si>
  <si>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</si>
  <si>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</si>
  <si>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</si>
  <si>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</si>
  <si>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</si>
  <si>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</si>
  <si>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</si>
  <si>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</si>
  <si>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</si>
  <si>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</si>
  <si>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</si>
  <si>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</si>
  <si>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</si>
  <si>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</si>
  <si>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</si>
  <si>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</si>
  <si>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</si>
  <si>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</si>
  <si>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</si>
  <si>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</si>
  <si>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</si>
  <si>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</si>
  <si>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</si>
  <si>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</si>
  <si>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</si>
  <si>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</si>
  <si>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</si>
  <si>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</si>
  <si>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</si>
  <si>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</si>
  <si>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</si>
  <si>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</si>
  <si>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</si>
  <si>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</si>
  <si>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</si>
  <si>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</si>
  <si>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</si>
  <si>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</si>
  <si>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</si>
  <si>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</si>
  <si>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</si>
  <si>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</si>
  <si>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</si>
  <si>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</si>
  <si>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</si>
  <si>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</si>
  <si>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</si>
  <si>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</si>
  <si>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</si>
  <si>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</si>
  <si>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</si>
  <si>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</si>
  <si>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</si>
  <si>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</si>
  <si>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</si>
  <si>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</si>
  <si>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</si>
  <si>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</si>
  <si>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</si>
  <si>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</si>
  <si>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</si>
  <si>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</si>
  <si>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</si>
  <si>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</si>
  <si>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</si>
  <si>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</si>
  <si>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</si>
  <si>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</si>
  <si>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</si>
  <si>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</si>
  <si>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</si>
  <si>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</si>
  <si>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</si>
  <si>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</si>
  <si>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</si>
  <si>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</si>
  <si>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</si>
  <si>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</si>
  <si>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</si>
  <si>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</si>
  <si>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</si>
  <si>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</si>
  <si>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</si>
  <si>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</si>
  <si>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</si>
  <si>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</si>
  <si>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</si>
  <si>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</si>
  <si>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</si>
  <si>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</si>
  <si>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</si>
  <si>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</si>
  <si>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</si>
  <si>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</si>
  <si>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</si>
  <si>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</si>
  <si>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</si>
  <si>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</si>
  <si>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</si>
  <si>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</si>
  <si>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</si>
  <si>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</si>
  <si>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</si>
  <si>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</si>
  <si>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</si>
  <si>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</si>
  <si>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</si>
  <si>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</si>
  <si>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</si>
  <si>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</si>
  <si>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</si>
  <si>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</si>
  <si>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</si>
  <si>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</si>
  <si>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</si>
  <si>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</si>
  <si>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</si>
  <si>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</si>
  <si>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</si>
  <si>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</si>
  <si>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</si>
  <si>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</si>
  <si>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</si>
  <si>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</si>
  <si>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</si>
  <si>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</si>
  <si>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</si>
  <si>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</si>
  <si>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</si>
  <si>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</si>
  <si>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</si>
  <si>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</si>
  <si>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</si>
  <si>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</si>
  <si>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</si>
  <si>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</si>
  <si>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</si>
  <si>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</si>
  <si>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</si>
  <si>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</si>
  <si>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</si>
  <si>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</si>
  <si>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</si>
  <si>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</si>
  <si>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</si>
  <si>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</si>
  <si>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</si>
  <si>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</si>
  <si>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</si>
  <si>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</si>
  <si>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</si>
  <si>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</si>
  <si>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</si>
  <si>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</si>
  <si>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</si>
  <si>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</si>
  <si>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</si>
  <si>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</si>
  <si>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</si>
  <si>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</si>
  <si>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</si>
  <si>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</si>
  <si>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</si>
  <si>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</si>
  <si>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</si>
  <si>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</si>
  <si>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</si>
  <si>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</si>
  <si>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</si>
  <si>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</si>
  <si>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</si>
  <si>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</si>
  <si>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</si>
  <si>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</si>
  <si>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</si>
  <si>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</si>
  <si>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</si>
  <si>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</si>
  <si>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</si>
  <si>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</si>
  <si>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</si>
  <si>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</si>
  <si>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</si>
  <si>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</si>
  <si>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</si>
  <si>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</si>
  <si>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</si>
  <si>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</si>
  <si>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</si>
  <si>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</si>
  <si>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</si>
  <si>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</si>
  <si>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</si>
  <si>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</si>
  <si>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</si>
  <si>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</si>
  <si>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</si>
  <si>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</si>
  <si>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</si>
  <si>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</si>
  <si>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</si>
  <si>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</si>
  <si>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</si>
  <si>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</si>
  <si>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</si>
  <si>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</si>
  <si>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</si>
  <si>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</si>
  <si>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</si>
  <si>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</si>
  <si>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</si>
  <si>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</si>
  <si>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</si>
  <si>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</si>
  <si>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</si>
  <si>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</si>
  <si>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</si>
  <si>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</si>
  <si>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</si>
  <si>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</si>
  <si>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</si>
  <si>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</si>
  <si>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</si>
  <si>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</si>
  <si>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</si>
  <si>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</si>
  <si>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</si>
  <si>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</si>
  <si>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</si>
  <si>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</si>
  <si>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</si>
  <si>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</si>
  <si>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</si>
  <si>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</si>
  <si>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</si>
  <si>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</si>
  <si>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</si>
  <si>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</si>
  <si>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</si>
  <si>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</si>
  <si>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</si>
  <si>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</si>
  <si>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</si>
  <si>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</si>
  <si>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</si>
  <si>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</si>
  <si>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</si>
  <si>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</si>
  <si>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</si>
  <si>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</si>
  <si>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</si>
  <si>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</si>
  <si>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</si>
  <si>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</si>
  <si>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</si>
  <si>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</si>
  <si>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</si>
  <si>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</si>
  <si>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</si>
  <si>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</si>
  <si>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</si>
  <si>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</si>
  <si>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</si>
  <si>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</si>
  <si>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</si>
  <si>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</si>
  <si>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</si>
  <si>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</si>
  <si>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</si>
  <si>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</si>
  <si>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</si>
  <si>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</si>
  <si>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</si>
  <si>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</si>
  <si>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</si>
  <si>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</si>
  <si>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</si>
  <si>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</si>
  <si>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</si>
  <si>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</si>
  <si>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</si>
  <si>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</si>
  <si>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</si>
  <si>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</si>
  <si>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</si>
  <si>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</si>
  <si>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</si>
  <si>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</si>
  <si>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</si>
  <si>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</si>
  <si>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</si>
  <si>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</si>
  <si>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</si>
  <si>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</si>
  <si>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</si>
  <si>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</si>
  <si>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</si>
  <si>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</si>
  <si>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</si>
  <si>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</si>
  <si>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</si>
  <si>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</si>
  <si>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</si>
  <si>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</si>
  <si>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</si>
  <si>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</si>
  <si>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</si>
  <si>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</si>
  <si>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</si>
  <si>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</si>
  <si>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</si>
  <si>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</si>
  <si>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</si>
  <si>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</si>
  <si>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</si>
  <si>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</si>
  <si>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</si>
  <si>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</si>
  <si>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</si>
  <si>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</si>
  <si>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</si>
  <si>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</si>
  <si>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</si>
  <si>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</si>
  <si>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</si>
  <si>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</si>
  <si>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</si>
  <si>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</si>
  <si>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</si>
  <si>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</si>
  <si>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</si>
  <si>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</si>
  <si>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</si>
  <si>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</si>
  <si>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</si>
  <si>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</si>
  <si>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</si>
  <si>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</si>
  <si>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</si>
  <si>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</si>
  <si>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</si>
  <si>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</si>
  <si>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</si>
  <si>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</si>
  <si>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</si>
  <si>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</si>
  <si>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</si>
  <si>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</si>
  <si>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</si>
  <si>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</si>
  <si>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</si>
  <si>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</si>
  <si>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</si>
  <si>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</si>
  <si>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</si>
  <si>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</si>
  <si>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</si>
  <si>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</si>
  <si>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</si>
  <si>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</si>
  <si>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</si>
  <si>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</si>
  <si>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</si>
  <si>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</si>
  <si>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</si>
  <si>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</si>
  <si>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</si>
  <si>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</si>
  <si>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</si>
  <si>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</si>
  <si>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</si>
  <si>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</si>
  <si>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</si>
  <si>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</si>
  <si>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</si>
  <si>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</si>
  <si>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</si>
  <si>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</si>
  <si>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</si>
  <si>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</si>
  <si>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</si>
  <si>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</si>
  <si>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</si>
  <si>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</si>
  <si>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</si>
  <si>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</si>
  <si>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</si>
  <si>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</si>
  <si>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</si>
  <si>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</si>
  <si>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</si>
  <si>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</si>
  <si>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</si>
  <si>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</si>
  <si>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</si>
  <si>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</si>
  <si>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</si>
  <si>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</si>
  <si>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</si>
  <si>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</si>
  <si>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</si>
  <si>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</si>
  <si>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</si>
  <si>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</si>
  <si>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</si>
  <si>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</si>
  <si>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</si>
  <si>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</si>
  <si>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</si>
  <si>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</si>
  <si>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</si>
  <si>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</si>
  <si>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</si>
  <si>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</si>
  <si>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</si>
  <si>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</si>
  <si>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</si>
  <si>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</si>
  <si>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</si>
  <si>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</si>
  <si>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</si>
  <si>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</si>
  <si>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</si>
  <si>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</si>
  <si>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</si>
  <si>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</si>
  <si>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</si>
  <si>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</si>
  <si>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</si>
  <si>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</si>
  <si>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</si>
  <si>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</si>
  <si>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</si>
  <si>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</si>
  <si>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</si>
  <si>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</si>
  <si>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</si>
  <si>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</si>
  <si>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</si>
  <si>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</si>
  <si>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</si>
  <si>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</si>
  <si>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</si>
  <si>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</si>
  <si>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</si>
  <si>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</si>
  <si>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</si>
  <si>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</si>
  <si>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</si>
  <si>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</si>
  <si>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</si>
  <si>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</si>
  <si>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</si>
  <si>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</si>
  <si>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</si>
  <si>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</si>
  <si>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</si>
  <si>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</si>
  <si>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</si>
  <si>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</si>
  <si>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</si>
  <si>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</si>
  <si>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</si>
  <si>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</si>
  <si>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</si>
  <si>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</si>
  <si>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</si>
  <si>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</si>
  <si>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</si>
  <si>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</si>
  <si>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</si>
  <si>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</si>
  <si>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</si>
  <si>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</si>
  <si>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</si>
  <si>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</si>
  <si>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</si>
  <si>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</si>
  <si>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</si>
  <si>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</si>
  <si>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</si>
  <si>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</si>
  <si>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</si>
  <si>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</si>
  <si>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</si>
  <si>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</si>
  <si>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</si>
  <si>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</si>
  <si>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</si>
  <si>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</si>
  <si>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</si>
  <si>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</si>
  <si>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</si>
  <si>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</si>
  <si>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</si>
  <si>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</si>
  <si>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</si>
  <si>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</si>
  <si>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</si>
  <si>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</si>
  <si>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</si>
  <si>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</si>
  <si>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</si>
  <si>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</si>
  <si>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</si>
  <si>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</si>
  <si>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</si>
  <si>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</si>
  <si>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</si>
  <si>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</si>
  <si>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</si>
  <si>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</si>
  <si>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</si>
  <si>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</si>
  <si>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</si>
  <si>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</si>
  <si>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</si>
  <si>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</si>
  <si>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</si>
  <si>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</si>
  <si>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</si>
  <si>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</si>
  <si>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</si>
  <si>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</si>
  <si>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</si>
  <si>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</si>
  <si>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</si>
  <si>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</si>
  <si>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</si>
  <si>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</si>
  <si>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</si>
  <si>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</si>
  <si>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</si>
  <si>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</si>
  <si>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</si>
  <si>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</si>
  <si>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</si>
  <si>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</si>
  <si>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</si>
  <si>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</si>
  <si>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</si>
  <si>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</si>
  <si>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</si>
  <si>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</si>
  <si>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</si>
  <si>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</si>
  <si>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</si>
  <si>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</si>
  <si>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</si>
  <si>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</si>
  <si>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</si>
  <si>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</si>
  <si>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</si>
  <si>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</si>
  <si>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</si>
  <si>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</si>
  <si>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</si>
  <si>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</si>
  <si>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</si>
  <si>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</si>
  <si>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</si>
  <si>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</si>
  <si>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</si>
  <si>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</si>
  <si>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</si>
  <si>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</si>
  <si>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</si>
  <si>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</si>
  <si>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</si>
  <si>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</si>
  <si>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</si>
  <si>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</si>
  <si>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</si>
  <si>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</si>
  <si>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</si>
  <si>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</si>
  <si>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</si>
  <si>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</si>
  <si>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</si>
  <si>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</si>
  <si>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</si>
  <si>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</si>
  <si>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</si>
  <si>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</si>
  <si>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</si>
  <si>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</si>
  <si>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</si>
  <si>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</si>
  <si>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</si>
  <si>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</si>
  <si>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</si>
  <si>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</si>
  <si>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</si>
  <si>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</si>
  <si>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</si>
  <si>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</si>
  <si>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</si>
  <si>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</si>
  <si>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</si>
  <si>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</si>
  <si>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</si>
  <si>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</si>
  <si>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</si>
  <si>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</si>
  <si>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</si>
  <si>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</si>
  <si>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</si>
  <si>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</si>
  <si>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</si>
  <si>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</si>
  <si>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</si>
  <si>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</si>
  <si>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</si>
  <si>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</si>
  <si>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</si>
  <si>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</si>
  <si>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</si>
  <si>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</si>
  <si>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</si>
  <si>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</si>
  <si>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</si>
  <si>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</si>
  <si>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</si>
  <si>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</si>
  <si>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</si>
  <si>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</si>
  <si>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</si>
  <si>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</si>
  <si>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</si>
  <si>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</si>
  <si>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</si>
  <si>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</si>
  <si>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</si>
  <si>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</si>
  <si>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</si>
  <si>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</si>
  <si>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</si>
  <si>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</si>
  <si>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</si>
  <si>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</si>
  <si>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</si>
  <si>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</si>
  <si>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</si>
  <si>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</si>
  <si>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</si>
  <si>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</si>
  <si>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</si>
  <si>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</si>
  <si>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</si>
  <si>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</si>
  <si>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</si>
  <si>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</si>
  <si>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</si>
  <si>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</si>
  <si>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</si>
  <si>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</si>
  <si>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</si>
  <si>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</si>
  <si>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</si>
  <si>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</si>
  <si>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</si>
  <si>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</si>
  <si>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</si>
  <si>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</si>
  <si>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</si>
  <si>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</si>
  <si>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</si>
  <si>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</si>
  <si>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</si>
  <si>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</si>
  <si>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</si>
  <si>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</si>
  <si>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</si>
  <si>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</si>
  <si>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</si>
  <si>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</si>
  <si>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</si>
  <si>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</si>
  <si>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</si>
  <si>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</si>
  <si>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</si>
  <si>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</si>
  <si>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</si>
  <si>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</si>
  <si>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</si>
  <si>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</si>
  <si>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</si>
  <si>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</si>
  <si>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</si>
  <si>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</si>
  <si>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</si>
  <si>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</si>
  <si>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</si>
  <si>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</si>
  <si>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</si>
  <si>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</si>
  <si>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</si>
  <si>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</si>
  <si>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</si>
  <si>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</si>
  <si>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</si>
  <si>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</si>
  <si>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</si>
  <si>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</si>
  <si>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</si>
  <si>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</si>
  <si>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</si>
  <si>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</si>
  <si>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</si>
  <si>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</si>
  <si>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</si>
  <si>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</si>
  <si>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</si>
  <si>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</si>
  <si>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</si>
  <si>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</si>
  <si>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</si>
  <si>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</si>
  <si>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</si>
  <si>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</si>
  <si>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</si>
  <si>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</si>
  <si>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</si>
  <si>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</si>
  <si>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</si>
  <si>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</si>
  <si>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</si>
  <si>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</si>
  <si>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</si>
  <si>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</si>
  <si>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</si>
  <si>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</si>
  <si>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</si>
  <si>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</si>
  <si>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</si>
  <si>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</si>
  <si>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</si>
  <si>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</si>
  <si>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</si>
  <si>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</si>
  <si>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</si>
  <si>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</si>
  <si>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</si>
  <si>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</si>
  <si>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</si>
  <si>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</si>
  <si>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</si>
  <si>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</si>
  <si>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</si>
  <si>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</si>
  <si>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</si>
  <si>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</si>
  <si>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</si>
  <si>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</si>
  <si>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</si>
  <si>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</si>
  <si>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</si>
  <si>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</si>
  <si>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</si>
  <si>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</si>
  <si>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</si>
  <si>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</si>
  <si>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</si>
  <si>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</si>
  <si>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</si>
  <si>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</si>
  <si>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</si>
  <si>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</si>
  <si>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</si>
  <si>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</si>
  <si>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</si>
  <si>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</si>
  <si>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</si>
  <si>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</si>
  <si>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</si>
  <si>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</si>
  <si>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</si>
  <si>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</si>
  <si>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</si>
  <si>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</si>
  <si>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</si>
  <si>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</si>
  <si>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</si>
  <si>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</si>
  <si>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</si>
  <si>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</si>
  <si>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</si>
  <si>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</si>
  <si>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</si>
  <si>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</si>
  <si>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</si>
  <si>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</si>
  <si>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</si>
  <si>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</si>
  <si>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</si>
  <si>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</si>
  <si>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</si>
  <si>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</si>
  <si>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</si>
  <si>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</si>
  <si>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</si>
  <si>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</si>
  <si>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</si>
  <si>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</si>
  <si>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</si>
  <si>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</si>
  <si>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</si>
  <si>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</si>
  <si>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</si>
  <si>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</si>
  <si>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</si>
  <si>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</si>
  <si>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</si>
  <si>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</si>
  <si>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</si>
  <si>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</si>
  <si>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</si>
  <si>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</si>
  <si>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</si>
  <si>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</si>
  <si>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</si>
  <si>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</si>
  <si>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</si>
  <si>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</si>
  <si>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</si>
  <si>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</si>
  <si>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</si>
  <si>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</si>
  <si>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</si>
  <si>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</si>
  <si>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</si>
  <si>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</si>
  <si>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</si>
  <si>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</si>
  <si>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</si>
  <si>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</si>
  <si>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</si>
  <si>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</si>
  <si>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</si>
  <si>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</si>
  <si>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</si>
  <si>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</si>
  <si>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</si>
  <si>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</si>
  <si>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</si>
  <si>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</si>
  <si>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</si>
  <si>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</si>
  <si>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</si>
  <si>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</si>
  <si>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</si>
  <si>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</si>
  <si>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</si>
  <si>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</si>
  <si>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</si>
  <si>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</si>
  <si>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</si>
  <si>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</si>
  <si>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</si>
  <si>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</si>
  <si>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</si>
  <si>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</si>
  <si>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</si>
  <si>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</si>
  <si>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</si>
  <si>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</si>
  <si>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</si>
  <si>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</si>
  <si>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</si>
  <si>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</si>
  <si>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</si>
  <si>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</si>
  <si>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</si>
  <si>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</si>
  <si>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</si>
  <si>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</si>
  <si>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</si>
  <si>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</si>
  <si>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</si>
  <si>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</si>
  <si>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</si>
  <si>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</si>
  <si>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</si>
  <si>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</si>
  <si>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</si>
  <si>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</si>
  <si>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</si>
  <si>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</si>
  <si>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</si>
  <si>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</si>
  <si>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</si>
  <si>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</si>
  <si>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</si>
  <si>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</si>
  <si>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</si>
  <si>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</si>
  <si>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</si>
  <si>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</si>
  <si>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</si>
  <si>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</si>
  <si>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</si>
  <si>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</si>
  <si>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</si>
  <si>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</si>
  <si>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</si>
  <si>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</si>
  <si>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</si>
  <si>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</si>
  <si>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</si>
  <si>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</si>
  <si>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</si>
  <si>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</si>
  <si>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</si>
  <si>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</si>
  <si>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</si>
  <si>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</si>
  <si>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</si>
  <si>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</si>
  <si>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</si>
  <si>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</si>
  <si>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</si>
  <si>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</si>
  <si>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</si>
  <si>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</si>
  <si>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</si>
  <si>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</si>
  <si>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</si>
  <si>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</si>
  <si>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</si>
  <si>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</si>
  <si>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</si>
  <si>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</si>
  <si>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</si>
  <si>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</si>
  <si>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</si>
  <si>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</si>
  <si>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</si>
  <si>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</si>
  <si>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</si>
  <si>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</si>
  <si>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</si>
  <si>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</si>
  <si>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</si>
  <si>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</si>
  <si>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</si>
  <si>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</si>
  <si>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</si>
  <si>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</si>
  <si>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</si>
  <si>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</si>
  <si>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</si>
  <si>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</si>
  <si>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</si>
  <si>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</si>
  <si>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</si>
  <si>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</si>
  <si>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</si>
  <si>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</si>
  <si>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</si>
  <si>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</si>
  <si>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</si>
  <si>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</si>
  <si>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</si>
  <si>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</si>
  <si>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</si>
  <si>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</si>
  <si>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</si>
  <si>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</si>
  <si>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</si>
  <si>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</si>
  <si>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</si>
  <si>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</si>
  <si>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</si>
  <si>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</si>
  <si>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</si>
  <si>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</si>
  <si>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</si>
  <si>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</si>
  <si>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</si>
  <si>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</si>
  <si>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</si>
  <si>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</si>
  <si>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</si>
  <si>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</si>
  <si>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</si>
  <si>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</si>
  <si>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</si>
  <si>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</si>
  <si>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</si>
  <si>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</si>
  <si>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</si>
  <si>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</si>
  <si>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</si>
  <si>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</si>
  <si>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</si>
  <si>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</si>
  <si>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</si>
  <si>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</si>
  <si>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</si>
  <si>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</si>
  <si>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</si>
  <si>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</si>
  <si>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</si>
  <si>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</si>
  <si>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</si>
  <si>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</si>
  <si>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</si>
  <si>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</si>
  <si>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</si>
  <si>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</si>
  <si>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</si>
  <si>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</si>
  <si>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</si>
  <si>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</si>
  <si>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</si>
  <si>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</si>
  <si>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</si>
  <si>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</si>
  <si>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</si>
  <si>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</si>
  <si>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</si>
  <si>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</si>
  <si>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</si>
  <si>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</si>
  <si>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</si>
  <si>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</si>
  <si>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</si>
  <si>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</si>
  <si>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</si>
  <si>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</si>
  <si>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</si>
  <si>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</si>
  <si>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</si>
  <si>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</si>
  <si>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</si>
  <si>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</si>
  <si>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</si>
  <si>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</si>
  <si>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</si>
  <si>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</si>
  <si>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</si>
  <si>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</si>
  <si>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</si>
  <si>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</si>
  <si>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</si>
  <si>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</si>
  <si>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</si>
  <si>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</si>
  <si>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</si>
  <si>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</si>
  <si>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</si>
  <si>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</si>
  <si>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</si>
  <si>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</si>
  <si>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</si>
  <si>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</si>
  <si>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</si>
  <si>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</si>
  <si>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</si>
  <si>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</si>
  <si>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</si>
  <si>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</si>
  <si>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</si>
  <si>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</si>
  <si>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</si>
  <si>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</si>
  <si>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</si>
  <si>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</si>
  <si>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</si>
  <si>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</si>
  <si>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</si>
  <si>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</si>
  <si>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</si>
  <si>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</si>
  <si>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</si>
  <si>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</si>
  <si>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</si>
  <si>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</si>
  <si>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</si>
  <si>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</si>
  <si>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</si>
  <si>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</si>
  <si>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</si>
  <si>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</si>
  <si>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</si>
  <si>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</si>
  <si>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</si>
  <si>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</si>
  <si>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</si>
  <si>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</si>
  <si>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</si>
  <si>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</si>
  <si>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</si>
  <si>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</si>
  <si>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</si>
  <si>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</si>
  <si>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</si>
  <si>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</si>
  <si>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</si>
  <si>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</si>
  <si>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</si>
  <si>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</si>
  <si>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</si>
  <si>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</si>
  <si>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</si>
  <si>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</si>
  <si>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</si>
  <si>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</si>
  <si>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</si>
  <si>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</si>
  <si>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</si>
  <si>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</si>
  <si>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</si>
  <si>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</si>
  <si>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</si>
  <si>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</si>
  <si>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</si>
  <si>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</si>
  <si>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</si>
  <si>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</si>
  <si>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</si>
  <si>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</si>
  <si>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</si>
  <si>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</si>
  <si>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</si>
  <si>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</si>
  <si>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</si>
  <si>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</si>
  <si>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</si>
  <si>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</si>
  <si>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</si>
  <si>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</si>
  <si>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</si>
  <si>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</si>
  <si>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</si>
  <si>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</si>
  <si>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</si>
  <si>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</si>
  <si>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</si>
  <si>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</si>
  <si>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</si>
  <si>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</si>
  <si>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</si>
  <si>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</si>
  <si>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</si>
  <si>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</si>
  <si>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</si>
  <si>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</si>
  <si>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</si>
  <si>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</si>
  <si>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</si>
  <si>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</si>
  <si>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</si>
  <si>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</si>
  <si>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</si>
  <si>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</si>
  <si>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</si>
  <si>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</si>
  <si>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</si>
  <si>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</si>
  <si>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</si>
  <si>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</si>
  <si>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</si>
  <si>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</si>
  <si>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</si>
  <si>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</si>
  <si>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</si>
  <si>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</si>
  <si>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</si>
  <si>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</si>
  <si>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</si>
  <si>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</si>
  <si>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</si>
  <si>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</si>
  <si>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</si>
  <si>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</si>
  <si>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</si>
  <si>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</si>
  <si>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</si>
  <si>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</si>
  <si>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</si>
  <si>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</si>
  <si>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</si>
  <si>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</si>
  <si>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</si>
  <si>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</si>
  <si>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</si>
  <si>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</si>
  <si>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</si>
  <si>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</si>
  <si>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</si>
  <si>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</si>
  <si>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</si>
  <si>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</si>
  <si>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</si>
  <si>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</si>
  <si>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</si>
  <si>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</si>
  <si>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</si>
  <si>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</si>
  <si>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</si>
  <si>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</si>
  <si>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</si>
  <si>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</si>
  <si>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</si>
  <si>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</si>
  <si>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</si>
  <si>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</si>
  <si>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</si>
  <si>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</si>
  <si>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</si>
  <si>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</si>
  <si>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</si>
  <si>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</si>
  <si>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</si>
  <si>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</si>
  <si>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</si>
  <si>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</si>
  <si>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</si>
  <si>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</si>
  <si>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</si>
  <si>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</si>
  <si>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</si>
  <si>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</si>
  <si>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</si>
  <si>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</si>
  <si>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</si>
  <si>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</si>
  <si>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</si>
  <si>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</si>
  <si>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</si>
  <si>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</si>
  <si>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</si>
  <si>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</si>
  <si>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</si>
  <si>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</si>
  <si>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</si>
  <si>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</si>
  <si>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</si>
  <si>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</si>
  <si>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</si>
  <si>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</si>
  <si>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</si>
  <si>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</si>
  <si>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</si>
  <si>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</si>
  <si>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</si>
  <si>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</si>
  <si>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</si>
  <si>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</si>
  <si>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</si>
  <si>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</si>
  <si>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</si>
  <si>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</si>
  <si>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</si>
  <si>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</si>
  <si>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</si>
  <si>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</si>
  <si>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</si>
  <si>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</si>
  <si>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</si>
  <si>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</si>
  <si>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</si>
  <si>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</si>
  <si>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</si>
  <si>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</si>
  <si>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</si>
  <si>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</si>
  <si>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</si>
  <si>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</si>
  <si>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</si>
  <si>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</si>
  <si>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</si>
  <si>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</si>
  <si>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</si>
  <si>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</si>
  <si>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</si>
  <si>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</si>
  <si>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</si>
  <si>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</si>
  <si>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</si>
  <si>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</si>
  <si>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</si>
  <si>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</si>
  <si>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</si>
  <si>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</si>
  <si>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</si>
  <si>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</si>
  <si>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</si>
  <si>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</si>
  <si>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</si>
  <si>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</si>
  <si>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</si>
  <si>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</si>
  <si>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</si>
  <si>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</si>
  <si>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</si>
  <si>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</si>
  <si>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</si>
  <si>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</si>
  <si>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</si>
  <si>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</si>
  <si>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</si>
  <si>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</si>
  <si>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</si>
  <si>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</si>
  <si>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</si>
  <si>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</si>
  <si>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</si>
  <si>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</si>
  <si>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</si>
  <si>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</si>
  <si>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</si>
  <si>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</si>
  <si>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</si>
  <si>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</si>
  <si>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</si>
  <si>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</si>
  <si>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</si>
  <si>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</si>
  <si>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</si>
  <si>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</si>
  <si>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</si>
  <si>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</si>
  <si>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</si>
  <si>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</si>
  <si>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</si>
  <si>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</si>
  <si>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</si>
  <si>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</si>
  <si>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</si>
  <si>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</si>
  <si>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</si>
  <si>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</si>
  <si>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</si>
  <si>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</si>
  <si>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</si>
  <si>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</si>
  <si>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</si>
  <si>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</si>
  <si>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</si>
  <si>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</si>
  <si>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</si>
  <si>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</si>
  <si>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</si>
  <si>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</si>
  <si>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</si>
  <si>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</si>
  <si>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</si>
  <si>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</si>
  <si>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</si>
  <si>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</si>
  <si>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</si>
  <si>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</si>
  <si>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</si>
  <si>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</si>
  <si>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</si>
  <si>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</si>
  <si>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</si>
  <si>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</si>
  <si>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</si>
  <si>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</si>
  <si>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</si>
  <si>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</si>
  <si>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</si>
  <si>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</si>
  <si>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</si>
  <si>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</si>
  <si>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</si>
  <si>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</si>
  <si>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</si>
  <si>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</si>
  <si>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</si>
  <si>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</si>
  <si>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</si>
  <si>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</si>
  <si>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</si>
  <si>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</si>
  <si>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</si>
  <si>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</si>
  <si>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</si>
  <si>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</si>
  <si>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</si>
  <si>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</si>
  <si>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</si>
  <si>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</si>
  <si>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</si>
  <si>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</si>
  <si>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</si>
  <si>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</si>
  <si>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</si>
  <si>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</si>
  <si>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</si>
  <si>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</si>
  <si>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</si>
  <si>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</si>
  <si>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</si>
  <si>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</si>
  <si>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</si>
  <si>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</si>
  <si>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</si>
  <si>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</si>
  <si>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</si>
  <si>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</si>
  <si>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</si>
  <si>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</si>
  <si>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</si>
  <si>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</si>
  <si>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</si>
  <si>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</si>
  <si>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</si>
  <si>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</si>
  <si>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</si>
  <si>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</si>
  <si>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</si>
  <si>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</si>
  <si>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</si>
  <si>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</si>
  <si>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</si>
  <si>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</si>
  <si>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</si>
  <si>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</si>
  <si>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</si>
  <si>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</si>
  <si>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</si>
  <si>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</si>
  <si>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</si>
  <si>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</si>
  <si>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</si>
  <si>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</si>
  <si>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</si>
  <si>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</si>
  <si>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</si>
  <si>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</si>
  <si>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</si>
  <si>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</si>
  <si>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</si>
  <si>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</si>
  <si>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</si>
  <si>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</si>
  <si>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</si>
  <si>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</si>
  <si>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</si>
  <si>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</si>
  <si>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</si>
  <si>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</si>
  <si>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</si>
  <si>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</si>
  <si>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</si>
  <si>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</si>
  <si>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</si>
  <si>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</si>
  <si>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</si>
  <si>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</si>
  <si>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</si>
  <si>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</si>
  <si>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</si>
  <si>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</si>
  <si>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</si>
  <si>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</si>
  <si>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</si>
  <si>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</si>
  <si>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</si>
  <si>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</si>
  <si>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</si>
  <si>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</si>
  <si>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</si>
  <si>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</si>
  <si>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</si>
  <si>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</si>
  <si>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</si>
  <si>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</si>
  <si>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</si>
  <si>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</si>
  <si>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</si>
  <si>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</si>
  <si>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</si>
  <si>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</si>
  <si>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</si>
  <si>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</si>
  <si>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</si>
  <si>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</si>
  <si>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</si>
  <si>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</si>
  <si>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</si>
  <si>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</si>
  <si>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</si>
  <si>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</si>
  <si>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</si>
  <si>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</si>
  <si>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</si>
  <si>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</si>
  <si>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</si>
  <si>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</si>
  <si>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</si>
  <si>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</si>
  <si>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</si>
  <si>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</si>
  <si>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</si>
  <si>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</si>
  <si>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</si>
  <si>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</si>
  <si>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</si>
  <si>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</si>
  <si>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</si>
  <si>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</si>
  <si>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</si>
  <si>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</si>
  <si>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</si>
  <si>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</si>
  <si>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</si>
  <si>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</si>
  <si>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</si>
  <si>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</si>
  <si>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</si>
  <si>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</si>
  <si>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</si>
  <si>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</si>
  <si>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</si>
  <si>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</si>
  <si>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</si>
  <si>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</si>
  <si>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</si>
  <si>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</si>
  <si>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</si>
  <si>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</si>
  <si>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</si>
  <si>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</si>
  <si>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</si>
  <si>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</si>
  <si>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</si>
  <si>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</si>
  <si>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</si>
  <si>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</si>
  <si>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</si>
  <si>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</si>
  <si>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</si>
  <si>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</si>
  <si>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</si>
  <si>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</si>
  <si>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</si>
  <si>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</si>
  <si>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</si>
  <si>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</si>
  <si>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</si>
  <si>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</si>
  <si>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</si>
  <si>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</si>
  <si>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</si>
  <si>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</si>
  <si>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</si>
  <si>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</si>
  <si>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</si>
  <si>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</si>
  <si>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</si>
  <si>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</si>
  <si>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</si>
  <si>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</si>
  <si>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</si>
  <si>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</si>
  <si>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</si>
  <si>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</si>
  <si>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</si>
  <si>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</si>
  <si>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</si>
  <si>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</si>
  <si>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</si>
  <si>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</si>
  <si>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</si>
  <si>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</si>
  <si>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</si>
  <si>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</si>
  <si>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</si>
  <si>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</si>
  <si>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</si>
  <si>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</si>
  <si>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</si>
  <si>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</si>
  <si>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</si>
  <si>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</si>
  <si>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</si>
  <si>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</si>
  <si>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</si>
  <si>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</si>
  <si>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</si>
  <si>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</si>
  <si>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</si>
  <si>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</si>
  <si>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</si>
  <si>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</si>
  <si>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</si>
  <si>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</si>
  <si>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</si>
  <si>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</si>
  <si>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</si>
  <si>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</si>
  <si>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</si>
  <si>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</si>
  <si>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</si>
  <si>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</si>
  <si>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</si>
  <si>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</si>
  <si>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</si>
  <si>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</si>
  <si>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</si>
  <si>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</si>
  <si>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</si>
  <si>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</si>
  <si>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</si>
  <si>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</si>
  <si>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</si>
  <si>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</si>
  <si>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</si>
  <si>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</si>
  <si>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</si>
  <si>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</si>
  <si>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</si>
  <si>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</si>
  <si>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</si>
  <si>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</si>
  <si>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</si>
  <si>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</si>
  <si>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</si>
  <si>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</si>
  <si>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</si>
  <si>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</si>
  <si>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</si>
  <si>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</si>
  <si>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</si>
  <si>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</si>
  <si>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</si>
  <si>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</si>
  <si>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</si>
  <si>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</si>
  <si>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</si>
  <si>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</si>
  <si>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</si>
  <si>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</si>
  <si>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</si>
  <si>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</si>
  <si>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</si>
  <si>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</si>
  <si>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</si>
  <si>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</si>
  <si>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</si>
  <si>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</si>
  <si>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</si>
  <si>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</si>
  <si>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</si>
  <si>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</si>
  <si>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</si>
  <si>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</si>
  <si>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</si>
  <si>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</si>
  <si>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</si>
  <si>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</si>
  <si>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</si>
  <si>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</si>
  <si>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</si>
  <si>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</si>
  <si>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</si>
  <si>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</si>
  <si>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</si>
  <si>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</si>
  <si>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</si>
  <si>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</si>
  <si>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</si>
  <si>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</si>
  <si>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</si>
  <si>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</si>
  <si>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</si>
  <si>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</si>
  <si>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</si>
  <si>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</si>
  <si>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</si>
  <si>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</si>
  <si>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</si>
  <si>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</si>
  <si>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</si>
  <si>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</si>
  <si>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</si>
  <si>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</si>
  <si>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</si>
  <si>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</si>
  <si>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</si>
  <si>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</si>
  <si>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</si>
  <si>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</si>
  <si>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</si>
  <si>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</si>
  <si>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</si>
  <si>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</si>
  <si>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</si>
  <si>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</si>
  <si>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</si>
  <si>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</si>
  <si>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</si>
  <si>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</si>
  <si>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</si>
  <si>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</si>
  <si>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</si>
  <si>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</si>
  <si>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</si>
  <si>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</si>
  <si>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</si>
  <si>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</si>
  <si>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</si>
  <si>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</si>
  <si>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</si>
  <si>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</si>
  <si>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</si>
  <si>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</si>
  <si>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</si>
  <si>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</si>
  <si>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</si>
  <si>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</si>
  <si>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</si>
  <si>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</si>
  <si>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</si>
  <si>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</si>
  <si>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</si>
  <si>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</si>
  <si>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</si>
  <si>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</si>
  <si>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</si>
  <si>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</si>
  <si>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</si>
  <si>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</si>
  <si>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</si>
  <si>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</si>
  <si>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</si>
  <si>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</si>
  <si>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</si>
  <si>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</si>
  <si>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</si>
  <si>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</si>
  <si>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</si>
  <si>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</si>
  <si>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</si>
  <si>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</si>
  <si>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</si>
  <si>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</si>
  <si>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</si>
  <si>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</si>
  <si>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</si>
  <si>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</si>
  <si>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</si>
  <si>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</si>
  <si>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</si>
  <si>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</si>
  <si>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</si>
  <si>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</si>
  <si>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</si>
  <si>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</si>
  <si>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</si>
  <si>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</si>
  <si>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</si>
  <si>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</si>
  <si>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</si>
  <si>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</si>
  <si>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</si>
  <si>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</si>
  <si>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</si>
  <si>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</si>
  <si>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</si>
  <si>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</si>
  <si>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</si>
  <si>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</si>
  <si>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</si>
  <si>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</si>
  <si>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</si>
  <si>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</si>
  <si>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</si>
  <si>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</si>
  <si>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</si>
  <si>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</si>
  <si>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</si>
  <si>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</si>
  <si>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</si>
  <si>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</si>
  <si>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</si>
  <si>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</si>
  <si>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</si>
  <si>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</si>
  <si>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</si>
  <si>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</si>
  <si>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</si>
  <si>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</si>
  <si>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</si>
  <si>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</si>
  <si>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</si>
  <si>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</si>
  <si>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</si>
  <si>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</si>
  <si>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</si>
  <si>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</si>
  <si>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</si>
  <si>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</si>
  <si>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</si>
  <si>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</si>
  <si>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</si>
  <si>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</si>
  <si>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</si>
  <si>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</si>
  <si>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</si>
  <si>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</si>
  <si>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</si>
  <si>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</si>
  <si>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</si>
  <si>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</si>
  <si>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</si>
  <si>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</si>
  <si>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</si>
  <si>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</si>
  <si>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</si>
  <si>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</si>
  <si>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</si>
  <si>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</si>
  <si>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</si>
  <si>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</si>
  <si>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</si>
  <si>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</si>
  <si>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</si>
  <si>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</si>
  <si>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</si>
  <si>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</si>
  <si>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</si>
  <si>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</si>
  <si>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</si>
  <si>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</si>
  <si>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</si>
  <si>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</si>
  <si>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</si>
  <si>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</si>
  <si>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</si>
  <si>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</si>
  <si>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</si>
  <si>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</si>
  <si>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</si>
  <si>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</si>
  <si>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</si>
  <si>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</si>
  <si>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</si>
  <si>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</si>
  <si>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</si>
  <si>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</si>
  <si>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</si>
  <si>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</si>
  <si>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</si>
  <si>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</si>
  <si>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</si>
  <si>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</si>
  <si>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</si>
  <si>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</si>
  <si>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</si>
  <si>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</si>
  <si>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</si>
  <si>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</si>
  <si>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</si>
  <si>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</si>
  <si>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</si>
  <si>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</si>
  <si>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</si>
  <si>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</si>
  <si>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</si>
  <si>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</si>
  <si>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</si>
  <si>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</si>
  <si>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</si>
  <si>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</si>
  <si>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</si>
  <si>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</si>
  <si>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</si>
  <si>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</si>
  <si>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</si>
  <si>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</si>
  <si>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</si>
  <si>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</si>
  <si>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</si>
  <si>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</si>
  <si>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</si>
  <si>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</si>
  <si>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</si>
  <si>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</si>
  <si>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</si>
  <si>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</si>
  <si>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</si>
  <si>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</si>
  <si>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</si>
  <si>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</si>
  <si>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</si>
  <si>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</si>
  <si>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</si>
  <si>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</si>
  <si>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</si>
  <si>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</si>
  <si>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</si>
  <si>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</si>
  <si>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</si>
  <si>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</si>
  <si>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</si>
  <si>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</si>
  <si>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</si>
  <si>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</si>
  <si>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</si>
  <si>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</si>
  <si>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</si>
  <si>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</si>
  <si>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</si>
  <si>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</si>
  <si>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</si>
  <si>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</si>
  <si>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</si>
  <si>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</si>
  <si>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</si>
  <si>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</si>
  <si>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</si>
  <si>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</si>
  <si>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</si>
  <si>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</si>
  <si>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</si>
  <si>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</si>
  <si>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</si>
  <si>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</si>
  <si>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</si>
  <si>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</si>
  <si>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</si>
  <si>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</si>
  <si>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</si>
  <si>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</si>
  <si>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</si>
  <si>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</si>
  <si>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</si>
  <si>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</si>
  <si>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</si>
  <si>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</si>
  <si>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</si>
  <si>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</si>
  <si>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</si>
  <si>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</si>
  <si>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</si>
  <si>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</si>
  <si>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</si>
  <si>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</si>
  <si>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</si>
  <si>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</si>
  <si>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</si>
  <si>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</si>
  <si>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</si>
  <si>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</si>
  <si>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</si>
  <si>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</si>
  <si>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</si>
  <si>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</si>
  <si>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</si>
  <si>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</si>
  <si>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</si>
  <si>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</si>
  <si>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</si>
  <si>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</si>
  <si>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</si>
  <si>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</si>
  <si>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</si>
  <si>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</si>
  <si>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</si>
  <si>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</si>
  <si>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</si>
  <si>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</si>
  <si>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</si>
  <si>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</si>
  <si>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</si>
  <si>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</si>
  <si>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</si>
  <si>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</si>
  <si>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</si>
  <si>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</si>
  <si>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</si>
  <si>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</si>
  <si>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</si>
  <si>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</si>
  <si>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</si>
  <si>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</si>
  <si>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</si>
  <si>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</si>
  <si>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</si>
  <si>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</si>
  <si>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</si>
  <si>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</si>
  <si>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</si>
  <si>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</si>
  <si>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</si>
  <si>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</si>
  <si>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</si>
  <si>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</si>
  <si>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</si>
  <si>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</si>
  <si>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</si>
  <si>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</si>
  <si>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</si>
  <si>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</si>
  <si>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</si>
  <si>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</si>
  <si>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</si>
  <si>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</si>
  <si>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</si>
  <si>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</si>
  <si>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</si>
  <si>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</si>
  <si>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</si>
  <si>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</si>
  <si>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</si>
  <si>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</si>
  <si>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</si>
  <si>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</si>
  <si>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</si>
  <si>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</si>
  <si>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</si>
  <si>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</si>
  <si>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</si>
  <si>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</si>
  <si>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</si>
  <si>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</si>
  <si>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</si>
  <si>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</si>
  <si>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</si>
  <si>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</si>
  <si>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</si>
  <si>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</si>
  <si>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</si>
  <si>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</si>
  <si>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</si>
  <si>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</si>
  <si>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</si>
  <si>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</si>
  <si>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</si>
  <si>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</si>
  <si>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</si>
  <si>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</si>
  <si>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</si>
  <si>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</si>
  <si>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</si>
  <si>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</si>
  <si>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</si>
  <si>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</si>
  <si>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</si>
  <si>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</si>
  <si>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</si>
  <si>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</si>
  <si>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</si>
  <si>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</si>
  <si>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</si>
  <si>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</si>
  <si>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</si>
  <si>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</si>
  <si>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</si>
  <si>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</si>
  <si>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</si>
  <si>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</si>
  <si>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</si>
  <si>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</si>
  <si>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</si>
  <si>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</si>
  <si>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</si>
  <si>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</si>
  <si>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</si>
  <si>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</si>
  <si>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</si>
  <si>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</si>
  <si>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</si>
  <si>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</si>
  <si>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</si>
  <si>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</si>
  <si>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</si>
  <si>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</si>
  <si>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</si>
  <si>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</si>
  <si>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</si>
  <si>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</si>
  <si>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</si>
  <si>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</si>
  <si>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</si>
  <si>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</si>
  <si>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</si>
  <si>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</si>
  <si>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</si>
  <si>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</si>
  <si>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</si>
  <si>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</si>
  <si>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</si>
  <si>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</si>
  <si>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</si>
  <si>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</si>
  <si>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</si>
  <si>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</si>
  <si>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</si>
  <si>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</si>
  <si>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</si>
  <si>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</si>
  <si>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</si>
  <si>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</si>
  <si>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</si>
  <si>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</si>
  <si>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</si>
  <si>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</si>
  <si>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</si>
  <si>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</si>
  <si>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</si>
  <si>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</si>
  <si>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</si>
  <si>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</si>
  <si>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</si>
  <si>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</si>
  <si>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</si>
  <si>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</si>
  <si>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</si>
  <si>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</si>
  <si>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</si>
  <si>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</si>
  <si>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</si>
  <si>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</si>
  <si>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</si>
  <si>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</si>
  <si>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</si>
  <si>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</si>
  <si>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</si>
  <si>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</si>
  <si>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</si>
  <si>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</si>
  <si>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</si>
  <si>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</si>
  <si>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</si>
  <si>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</si>
  <si>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</si>
  <si>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</si>
  <si>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</si>
  <si>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</si>
  <si>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</si>
  <si>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</si>
  <si>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</si>
  <si>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</si>
  <si>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</si>
  <si>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</si>
  <si>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</si>
  <si>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</si>
  <si>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</si>
  <si>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</si>
  <si>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</si>
  <si>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</si>
  <si>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</si>
  <si>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</si>
  <si>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</si>
  <si>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</si>
  <si>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</si>
  <si>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</si>
  <si>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</si>
  <si>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</si>
  <si>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</si>
  <si>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</si>
  <si>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</si>
  <si>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</si>
  <si>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</si>
  <si>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</si>
  <si>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</si>
  <si>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</si>
  <si>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</si>
  <si>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</si>
  <si>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</si>
  <si>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</si>
  <si>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</si>
  <si>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</si>
  <si>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</si>
  <si>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</si>
  <si>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</si>
  <si>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</si>
  <si>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</si>
  <si>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</si>
  <si>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</si>
  <si>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</si>
  <si>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</si>
  <si>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</si>
  <si>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</si>
  <si>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</si>
  <si>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</si>
  <si>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</si>
  <si>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</si>
  <si>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</si>
  <si>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</si>
  <si>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</si>
  <si>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</si>
  <si>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</si>
  <si>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</si>
  <si>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</si>
  <si>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</si>
  <si>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</si>
  <si>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</si>
  <si>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</si>
  <si>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</si>
  <si>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</si>
  <si>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</si>
  <si>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</si>
  <si>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</si>
  <si>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</si>
  <si>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</si>
  <si>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</si>
  <si>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</si>
  <si>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</si>
  <si>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</si>
  <si>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</si>
  <si>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</si>
  <si>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</si>
  <si>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</si>
  <si>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</si>
  <si>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</si>
  <si>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</si>
  <si>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</si>
  <si>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</si>
  <si>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</si>
  <si>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</si>
  <si>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</si>
  <si>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</si>
  <si>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</si>
  <si>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</si>
  <si>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</si>
  <si>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</si>
  <si>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</si>
  <si>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</si>
  <si>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</si>
  <si>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</si>
  <si>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</si>
  <si>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</si>
  <si>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</si>
  <si>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</si>
  <si>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</si>
  <si>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</si>
  <si>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</si>
  <si>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</si>
  <si>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</si>
  <si>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</si>
  <si>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</si>
  <si>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</si>
  <si>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</si>
  <si>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</si>
  <si>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</si>
  <si>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</si>
  <si>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</si>
  <si>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</si>
  <si>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</si>
  <si>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</si>
  <si>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</si>
  <si>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</si>
  <si>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</si>
  <si>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</si>
  <si>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</si>
  <si>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</si>
  <si>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</si>
  <si>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</si>
  <si>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</si>
  <si>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</si>
  <si>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</si>
  <si>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</si>
  <si>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</si>
  <si>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</si>
  <si>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</si>
  <si>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</si>
  <si>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</si>
  <si>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</si>
  <si>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</si>
  <si>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</si>
  <si>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</si>
  <si>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</si>
  <si>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</si>
  <si>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</si>
  <si>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</si>
  <si>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</si>
  <si>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</si>
  <si>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</si>
  <si>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</si>
  <si>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</si>
  <si>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</si>
  <si>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</si>
  <si>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</si>
  <si>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</si>
  <si>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</si>
  <si>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</si>
  <si>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</si>
  <si>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</si>
  <si>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</si>
  <si>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</si>
  <si>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</si>
  <si>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</si>
  <si>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</si>
  <si>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</si>
  <si>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</si>
  <si>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</si>
  <si>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</si>
  <si>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</si>
  <si>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</si>
  <si>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</si>
  <si>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</si>
  <si>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</si>
  <si>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</si>
  <si>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</si>
  <si>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</si>
  <si>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</si>
  <si>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</si>
  <si>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</si>
  <si>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</si>
  <si>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</si>
  <si>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</si>
  <si>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</si>
  <si>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</si>
  <si>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</si>
  <si>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</si>
  <si>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</si>
  <si>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</si>
  <si>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</si>
  <si>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</si>
  <si>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</si>
  <si>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</si>
  <si>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</si>
  <si>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</si>
  <si>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</si>
  <si>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</si>
  <si>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</si>
  <si>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</si>
  <si>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</si>
  <si>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</si>
  <si>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</si>
  <si>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</si>
  <si>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</si>
  <si>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</si>
  <si>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</si>
  <si>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</si>
  <si>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</si>
  <si>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</si>
  <si>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</si>
  <si>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</si>
  <si>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</si>
  <si>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</si>
  <si>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</si>
  <si>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</si>
  <si>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</si>
  <si>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</si>
  <si>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</si>
  <si>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</si>
  <si>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</si>
  <si>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</si>
  <si>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</si>
  <si>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</si>
  <si>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</si>
  <si>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</si>
  <si>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</si>
  <si>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</si>
  <si>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</si>
  <si>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</si>
  <si>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</si>
  <si>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</si>
  <si>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</si>
  <si>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</si>
  <si>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</si>
  <si>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</si>
  <si>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</si>
  <si>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</si>
  <si>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</si>
  <si>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</si>
  <si>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</si>
  <si>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</si>
  <si>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</si>
  <si>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</si>
  <si>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</si>
  <si>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</si>
  <si>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</si>
  <si>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</si>
  <si>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</si>
  <si>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</si>
  <si>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</si>
  <si>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</si>
  <si>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</si>
  <si>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</si>
  <si>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</si>
  <si>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</si>
  <si>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</si>
  <si>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</si>
  <si>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</si>
  <si>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</si>
  <si>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</si>
  <si>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</si>
  <si>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</si>
  <si>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</si>
  <si>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</si>
  <si>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</si>
  <si>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</si>
  <si>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</si>
  <si>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</si>
  <si>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</si>
  <si>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</si>
  <si>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</si>
  <si>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</si>
  <si>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</si>
  <si>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</si>
  <si>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</si>
  <si>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</si>
  <si>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</si>
  <si>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</si>
  <si>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</si>
  <si>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</si>
  <si>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</si>
  <si>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</si>
  <si>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</si>
  <si>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</si>
  <si>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</si>
  <si>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</si>
  <si>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</si>
  <si>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</si>
  <si>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</si>
  <si>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</si>
  <si>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</si>
  <si>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</si>
  <si>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</si>
  <si>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</si>
  <si>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</si>
  <si>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</si>
  <si>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</si>
  <si>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</si>
  <si>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</si>
  <si>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</si>
  <si>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</si>
  <si>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</si>
  <si>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</si>
  <si>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</si>
  <si>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</si>
  <si>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</si>
  <si>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</si>
  <si>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</si>
  <si>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</si>
  <si>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</si>
  <si>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</si>
  <si>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</si>
  <si>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</si>
  <si>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</si>
  <si>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</si>
  <si>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</si>
  <si>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</si>
  <si>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</si>
  <si>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</si>
  <si>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</si>
  <si>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</si>
  <si>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</si>
  <si>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</si>
  <si>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</si>
  <si>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</si>
  <si>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</si>
  <si>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</si>
  <si>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</si>
  <si>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</si>
  <si>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</si>
  <si>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</si>
  <si>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</si>
  <si>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</si>
  <si>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</si>
  <si>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</si>
  <si>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</si>
  <si>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</si>
  <si>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</si>
  <si>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</si>
  <si>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</si>
  <si>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</si>
  <si>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</si>
  <si>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</si>
  <si>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</si>
  <si>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</si>
  <si>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</si>
  <si>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</si>
  <si>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</si>
  <si>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</si>
  <si>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</si>
  <si>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</si>
  <si>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</si>
  <si>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</si>
  <si>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</si>
  <si>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</si>
  <si>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</si>
  <si>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</si>
  <si>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</si>
  <si>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</si>
  <si>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</si>
  <si>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</si>
  <si>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</si>
  <si>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</si>
  <si>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</si>
  <si>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</si>
  <si>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</si>
  <si>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</si>
  <si>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</si>
  <si>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</si>
  <si>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</si>
  <si>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</si>
  <si>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</si>
  <si>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</si>
  <si>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</si>
  <si>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</si>
  <si>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</si>
  <si>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</si>
  <si>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</si>
  <si>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</si>
  <si>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</si>
  <si>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</si>
  <si>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</si>
  <si>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</si>
  <si>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</si>
  <si>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</si>
  <si>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</si>
  <si>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</si>
  <si>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</si>
  <si>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</si>
  <si>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</si>
  <si>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</si>
  <si>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</si>
  <si>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</si>
  <si>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</si>
  <si>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</si>
  <si>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</si>
  <si>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</si>
  <si>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</si>
  <si>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</si>
  <si>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</si>
  <si>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</si>
  <si>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</si>
  <si>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</si>
  <si>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</si>
  <si>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</si>
  <si>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</si>
  <si>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</si>
  <si>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</si>
  <si>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</si>
  <si>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</si>
  <si>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</si>
  <si>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</si>
  <si>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</si>
  <si>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</si>
  <si>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</si>
  <si>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</si>
  <si>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</si>
  <si>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</si>
  <si>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</si>
  <si>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</si>
  <si>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</si>
  <si>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</si>
  <si>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</si>
  <si>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</si>
  <si>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</si>
  <si>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</si>
  <si>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</si>
  <si>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</si>
  <si>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</si>
  <si>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</si>
  <si>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</si>
  <si>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</si>
  <si>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</si>
  <si>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</si>
  <si>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</si>
  <si>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</si>
  <si>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</si>
  <si>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</si>
  <si>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</si>
  <si>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</si>
  <si>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</si>
  <si>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</si>
  <si>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</si>
  <si>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</si>
  <si>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</si>
  <si>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</si>
  <si>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</si>
  <si>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</si>
  <si>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</si>
  <si>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</si>
  <si>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</si>
  <si>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</si>
  <si>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</si>
  <si>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</si>
  <si>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</si>
  <si>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</si>
  <si>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</si>
  <si>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</si>
  <si>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</si>
  <si>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</si>
  <si>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</si>
  <si>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</si>
  <si>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</si>
  <si>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</si>
  <si>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</si>
  <si>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</si>
  <si>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</si>
  <si>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</si>
  <si>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</si>
  <si>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</si>
  <si>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</si>
  <si>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</si>
  <si>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</si>
  <si>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</si>
  <si>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</si>
  <si>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</si>
  <si>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</si>
  <si>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</si>
  <si>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</si>
  <si>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</si>
  <si>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</si>
  <si>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</si>
  <si>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</si>
  <si>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</si>
  <si>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</si>
  <si>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</si>
  <si>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</si>
  <si>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</si>
  <si>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</si>
  <si>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</si>
  <si>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</si>
  <si>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</si>
  <si>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</si>
  <si>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</si>
  <si>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</si>
  <si>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</si>
  <si>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</si>
  <si>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</si>
  <si>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</si>
  <si>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</si>
  <si>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</si>
  <si>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</si>
  <si>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</si>
  <si>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</si>
  <si>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</si>
  <si>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</si>
  <si>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</si>
  <si>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</si>
  <si>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</si>
  <si>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</si>
  <si>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</si>
  <si>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</si>
  <si>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</si>
  <si>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</si>
  <si>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</si>
  <si>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</si>
  <si>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</si>
  <si>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</si>
  <si>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</si>
  <si>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</si>
  <si>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</si>
  <si>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</si>
  <si>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</si>
  <si>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</si>
  <si>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</si>
  <si>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</si>
  <si>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</si>
  <si>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</si>
  <si>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</si>
  <si>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</si>
  <si>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</si>
  <si>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</si>
  <si>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</si>
  <si>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</si>
  <si>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</si>
  <si>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</si>
  <si>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</si>
  <si>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</si>
  <si>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</si>
  <si>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</si>
  <si>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</si>
  <si>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</si>
  <si>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</si>
  <si>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</si>
  <si>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</si>
  <si>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</si>
  <si>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</si>
  <si>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</si>
  <si>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</si>
  <si>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</si>
  <si>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</si>
  <si>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</si>
  <si>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</si>
  <si>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</si>
  <si>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</si>
  <si>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</si>
  <si>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</si>
  <si>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</si>
  <si>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</si>
  <si>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</si>
  <si>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</si>
  <si>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</si>
  <si>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</si>
  <si>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</si>
  <si>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</si>
  <si>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</si>
  <si>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</si>
  <si>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</si>
  <si>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</si>
  <si>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</si>
  <si>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</si>
  <si>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</si>
  <si>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</si>
  <si>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</si>
  <si>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</si>
  <si>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</si>
  <si>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</si>
  <si>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</si>
  <si>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</si>
  <si>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</si>
  <si>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</si>
  <si>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</si>
  <si>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</si>
  <si>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</si>
  <si>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</si>
  <si>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</si>
  <si>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</si>
  <si>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</si>
  <si>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</si>
  <si>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</si>
  <si>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</si>
  <si>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</si>
  <si>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</si>
  <si>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</si>
  <si>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</si>
  <si>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</si>
  <si>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</si>
  <si>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</si>
  <si>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</si>
  <si>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</si>
  <si>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</si>
  <si>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</si>
  <si>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</si>
  <si>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</si>
  <si>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</si>
  <si>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</si>
  <si>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</si>
  <si>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</si>
  <si>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</si>
  <si>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</si>
  <si>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</si>
  <si>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</si>
  <si>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</si>
  <si>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</si>
  <si>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</si>
  <si>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</si>
  <si>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</si>
  <si>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</si>
  <si>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</si>
  <si>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</si>
  <si>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</si>
  <si>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</si>
  <si>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</si>
  <si>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</si>
  <si>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</si>
  <si>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</si>
  <si>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</si>
  <si>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</si>
  <si>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</si>
  <si>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</si>
  <si>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</si>
  <si>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</si>
  <si>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</si>
  <si>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</si>
  <si>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</si>
  <si>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</si>
  <si>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</si>
  <si>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</si>
  <si>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</si>
  <si>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</si>
  <si>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</si>
  <si>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</si>
  <si>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</si>
  <si>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</si>
  <si>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</si>
  <si>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</si>
  <si>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</si>
  <si>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</si>
  <si>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</si>
  <si>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</si>
  <si>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</si>
  <si>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</si>
  <si>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</si>
  <si>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</si>
  <si>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</si>
  <si>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</si>
  <si>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</si>
  <si>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</si>
  <si>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</si>
  <si>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</si>
  <si>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</si>
  <si>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</si>
  <si>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</si>
  <si>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</si>
  <si>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</si>
  <si>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</si>
  <si>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</si>
  <si>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</si>
  <si>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</si>
  <si>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</si>
  <si>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</si>
  <si>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</si>
  <si>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</si>
  <si>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</si>
  <si>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</si>
  <si>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</si>
  <si>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</si>
  <si>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</si>
  <si>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</si>
  <si>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</si>
  <si>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</si>
  <si>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</si>
  <si>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</si>
  <si>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</si>
  <si>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</si>
  <si>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</si>
  <si>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</si>
  <si>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</si>
  <si>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</si>
  <si>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</si>
  <si>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</si>
  <si>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</si>
  <si>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</si>
  <si>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</si>
  <si>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</si>
  <si>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</si>
  <si>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</si>
  <si>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</si>
  <si>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</si>
  <si>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</si>
  <si>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</si>
  <si>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</si>
  <si>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</si>
  <si>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</si>
  <si>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</si>
  <si>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</si>
  <si>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</si>
  <si>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</si>
  <si>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</si>
  <si>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</si>
  <si>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</si>
  <si>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</si>
  <si>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</si>
  <si>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</si>
  <si>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</si>
  <si>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</si>
  <si>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</si>
  <si>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</si>
  <si>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</si>
  <si>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</si>
  <si>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</si>
  <si>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</si>
  <si>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</si>
  <si>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</si>
  <si>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</si>
  <si>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</si>
  <si>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</si>
  <si>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</si>
  <si>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</si>
  <si>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</si>
  <si>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</si>
  <si>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</si>
  <si>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</si>
  <si>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</si>
  <si>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</si>
  <si>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</si>
  <si>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</si>
  <si>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</si>
  <si>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</si>
  <si>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</si>
  <si>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</si>
  <si>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</si>
  <si>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</si>
  <si>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</si>
  <si>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</si>
  <si>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</si>
  <si>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</si>
  <si>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</si>
  <si>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</si>
  <si>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</si>
  <si>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</si>
  <si>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</si>
  <si>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</si>
  <si>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</si>
  <si>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</si>
  <si>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</si>
  <si>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</si>
  <si>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</si>
  <si>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</si>
  <si>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</si>
  <si>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</si>
  <si>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</si>
  <si>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</si>
  <si>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</si>
  <si>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</si>
  <si>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</si>
  <si>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</si>
  <si>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</si>
  <si>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</si>
  <si>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</si>
  <si>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</si>
  <si>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</si>
  <si>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</si>
  <si>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</si>
  <si>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</si>
  <si>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</si>
  <si>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</si>
  <si>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</si>
  <si>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</si>
  <si>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</si>
  <si>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</si>
  <si>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</si>
  <si>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</si>
  <si>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</si>
  <si>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</si>
  <si>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</si>
  <si>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</si>
  <si>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</si>
  <si>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</si>
  <si>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</si>
  <si>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</si>
  <si>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</si>
  <si>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</si>
  <si>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</si>
  <si>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</si>
  <si>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</si>
  <si>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</si>
  <si>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</si>
  <si>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</si>
  <si>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</si>
  <si>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</si>
  <si>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</si>
  <si>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</si>
  <si>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</si>
  <si>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</si>
  <si>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</si>
  <si>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</si>
  <si>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</si>
  <si>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</si>
  <si>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</si>
  <si>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</si>
  <si>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</si>
  <si>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</si>
  <si>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</si>
  <si>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</si>
  <si>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</si>
  <si>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</si>
  <si>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</si>
  <si>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</si>
  <si>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</si>
  <si>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</si>
  <si>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</si>
  <si>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</si>
  <si>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</si>
  <si>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</si>
  <si>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</si>
  <si>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</si>
  <si>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</si>
  <si>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</si>
  <si>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</si>
  <si>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</si>
  <si>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</si>
  <si>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</si>
  <si>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</si>
  <si>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</si>
  <si>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</si>
  <si>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</si>
  <si>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</si>
  <si>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</si>
  <si>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</si>
  <si>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</si>
  <si>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</si>
  <si>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</si>
  <si>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</si>
  <si>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</si>
  <si>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</si>
  <si>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</si>
  <si>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</si>
  <si>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</si>
  <si>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</si>
  <si>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</si>
  <si>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</si>
  <si>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</si>
  <si>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</si>
  <si>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</si>
  <si>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</si>
  <si>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</si>
  <si>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</si>
  <si>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</si>
  <si>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</si>
  <si>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</si>
  <si>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</si>
  <si>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</si>
  <si>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</si>
  <si>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</si>
  <si>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</si>
  <si>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</si>
  <si>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</si>
  <si>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</si>
  <si>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</si>
  <si>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</si>
  <si>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</si>
  <si>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</si>
  <si>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</si>
  <si>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</si>
  <si>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</si>
  <si>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</si>
  <si>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</si>
  <si>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</si>
  <si>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</si>
  <si>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</si>
  <si>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</si>
  <si>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</si>
  <si>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</si>
  <si>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</si>
  <si>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</si>
  <si>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</si>
  <si>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</si>
  <si>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</si>
  <si>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</si>
  <si>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</si>
  <si>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</si>
  <si>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</si>
  <si>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</si>
  <si>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</si>
  <si>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</si>
  <si>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</si>
  <si>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</si>
  <si>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</si>
  <si>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</si>
  <si>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</si>
  <si>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</si>
  <si>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</si>
  <si>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</si>
  <si>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</si>
  <si>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</si>
  <si>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</si>
  <si>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</si>
  <si>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</si>
  <si>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</si>
  <si>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</si>
  <si>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</si>
  <si>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</si>
  <si>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</si>
  <si>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</si>
  <si>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</si>
  <si>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</si>
  <si>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</si>
  <si>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</si>
  <si>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</si>
  <si>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</si>
  <si>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</si>
  <si>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</si>
  <si>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</si>
  <si>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</si>
  <si>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</si>
  <si>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</si>
  <si>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</si>
  <si>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</si>
  <si>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</si>
  <si>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</si>
  <si>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</si>
  <si>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</si>
  <si>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</si>
  <si>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</si>
  <si>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</si>
  <si>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</si>
  <si>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</si>
  <si>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</si>
  <si>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</si>
  <si>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</si>
  <si>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</si>
  <si>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</si>
  <si>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</si>
  <si>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</si>
  <si>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</si>
  <si>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</si>
  <si>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</si>
  <si>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</si>
  <si>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</si>
  <si>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</si>
  <si>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</si>
  <si>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</si>
  <si>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</si>
  <si>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</si>
  <si>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</si>
  <si>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</si>
  <si>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</si>
  <si>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</si>
  <si>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</si>
  <si>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</si>
  <si>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</si>
  <si>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</si>
  <si>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</si>
  <si>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</si>
  <si>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</si>
  <si>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</si>
  <si>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</si>
  <si>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</si>
  <si>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</si>
  <si>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</si>
  <si>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</si>
  <si>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</si>
  <si>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</si>
  <si>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</si>
  <si>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</si>
  <si>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</si>
  <si>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</si>
  <si>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</si>
  <si>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</si>
  <si>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</si>
  <si>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</si>
  <si>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</si>
  <si>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</si>
  <si>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</si>
  <si>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</si>
  <si>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</si>
  <si>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</si>
  <si>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</si>
  <si>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</si>
  <si>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</si>
  <si>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</si>
  <si>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</si>
  <si>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</si>
  <si>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</si>
  <si>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</si>
  <si>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</si>
  <si>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</si>
  <si>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</si>
  <si>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</si>
  <si>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</si>
  <si>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</si>
  <si>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</si>
  <si>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</si>
  <si>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</si>
  <si>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</si>
  <si>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</si>
  <si>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</si>
  <si>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</si>
  <si>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</si>
  <si>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</si>
  <si>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</si>
  <si>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</si>
  <si>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</si>
  <si>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</si>
  <si>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</si>
  <si>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</si>
  <si>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</si>
  <si>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</si>
  <si>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</si>
  <si>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</si>
  <si>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</si>
  <si>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</si>
  <si>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</si>
  <si>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</si>
  <si>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</si>
  <si>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</si>
  <si>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</si>
  <si>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</si>
  <si>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</si>
  <si>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</si>
  <si>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</si>
  <si>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</si>
  <si>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</si>
  <si>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</si>
  <si>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</si>
  <si>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</si>
  <si>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</si>
  <si>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</si>
  <si>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</si>
  <si>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</si>
  <si>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</si>
  <si>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</si>
  <si>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</si>
  <si>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</si>
  <si>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</si>
  <si>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</si>
  <si>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</si>
  <si>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</si>
  <si>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</si>
  <si>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</si>
  <si>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</si>
  <si>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</si>
  <si>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</si>
  <si>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</si>
  <si>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</si>
  <si>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</si>
  <si>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</si>
  <si>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</si>
  <si>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</si>
  <si>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</si>
  <si>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</si>
  <si>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</si>
  <si>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</si>
  <si>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</si>
  <si>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</si>
  <si>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</si>
  <si>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</si>
  <si>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</si>
  <si>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</si>
  <si>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</si>
  <si>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</si>
  <si>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</si>
  <si>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</si>
  <si>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</si>
  <si>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</si>
  <si>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</si>
  <si>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</si>
  <si>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</si>
  <si>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</si>
  <si>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</si>
  <si>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</si>
  <si>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</si>
  <si>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</si>
  <si>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</si>
  <si>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</si>
  <si>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</si>
  <si>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</si>
  <si>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</si>
  <si>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</si>
  <si>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</si>
  <si>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</si>
  <si>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</si>
  <si>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</si>
  <si>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</si>
  <si>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</si>
  <si>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</si>
  <si>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</si>
  <si>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</si>
  <si>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</si>
  <si>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</si>
  <si>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</si>
  <si>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</si>
  <si>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</si>
  <si>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</si>
  <si>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</si>
  <si>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</si>
  <si>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</si>
  <si>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</si>
  <si>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</si>
  <si>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</si>
  <si>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</si>
  <si>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</si>
  <si>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</si>
  <si>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</si>
  <si>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</si>
  <si>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</si>
  <si>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</si>
  <si>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</si>
  <si>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</si>
  <si>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</si>
  <si>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</si>
  <si>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</si>
  <si>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</si>
  <si>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</si>
  <si>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</si>
  <si>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</si>
  <si>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</si>
  <si>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</si>
  <si>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</si>
  <si>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</si>
  <si>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</si>
  <si>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</si>
  <si>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</si>
  <si>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</si>
  <si>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</si>
  <si>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</si>
  <si>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</si>
  <si>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</si>
  <si>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</si>
  <si>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</si>
  <si>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</si>
  <si>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</si>
  <si>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</si>
  <si>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</si>
  <si>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</si>
  <si>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</si>
  <si>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</si>
  <si>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</si>
  <si>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</si>
  <si>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</si>
  <si>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</si>
  <si>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</si>
  <si>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</si>
  <si>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</si>
  <si>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</si>
  <si>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</si>
  <si>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</si>
  <si>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</si>
  <si>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</si>
  <si>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</si>
  <si>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</si>
  <si>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</si>
  <si>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</si>
  <si>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</si>
  <si>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</si>
  <si>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</si>
  <si>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</si>
  <si>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</si>
  <si>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</si>
  <si>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</si>
  <si>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</si>
  <si>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</si>
  <si>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</si>
  <si>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</si>
  <si>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</si>
  <si>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</si>
  <si>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</si>
  <si>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</si>
  <si>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</si>
  <si>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</si>
  <si>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</si>
  <si>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</si>
  <si>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</si>
  <si>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</si>
  <si>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</si>
  <si>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</si>
  <si>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</si>
  <si>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</si>
  <si>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</si>
  <si>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</si>
  <si>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</si>
  <si>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</si>
  <si>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</si>
  <si>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</si>
  <si>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</si>
  <si>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</si>
  <si>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</si>
  <si>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</si>
  <si>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</si>
  <si>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</si>
  <si>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</si>
  <si>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</si>
  <si>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</si>
  <si>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</si>
  <si>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</si>
  <si>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</si>
  <si>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</si>
  <si>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</si>
  <si>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</si>
  <si>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</si>
  <si>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</si>
  <si>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</si>
  <si>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</si>
  <si>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</si>
  <si>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</si>
  <si>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</si>
  <si>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</si>
  <si>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</si>
  <si>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</si>
  <si>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</si>
  <si>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</si>
  <si>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</si>
  <si>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</si>
  <si>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</si>
  <si>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</si>
  <si>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</si>
  <si>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</si>
  <si>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</si>
  <si>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</si>
  <si>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</si>
  <si>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</si>
  <si>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</si>
  <si>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</si>
  <si>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</si>
  <si>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</si>
  <si>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</si>
  <si>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</si>
  <si>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</si>
  <si>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</si>
  <si>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</si>
  <si>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</si>
  <si>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</si>
  <si>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</si>
  <si>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</si>
  <si>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</si>
  <si>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</si>
  <si>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</si>
  <si>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</si>
  <si>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</si>
  <si>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</si>
  <si>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</si>
  <si>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</si>
  <si>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</si>
  <si>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</si>
  <si>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</si>
  <si>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</si>
  <si>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</si>
  <si>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</si>
  <si>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</si>
  <si>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</si>
  <si>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</si>
  <si>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</si>
  <si>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</si>
  <si>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</si>
  <si>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</si>
  <si>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</si>
  <si>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</si>
  <si>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</si>
  <si>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</si>
  <si>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</si>
  <si>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</si>
  <si>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</si>
  <si>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</si>
  <si>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</si>
  <si>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</si>
  <si>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</si>
  <si>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</si>
  <si>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</si>
  <si>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</si>
  <si>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</si>
  <si>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</si>
  <si>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</si>
  <si>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</si>
  <si>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</si>
  <si>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</si>
  <si>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</si>
  <si>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</si>
  <si>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</si>
  <si>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</si>
  <si>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</si>
  <si>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</si>
  <si>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</si>
  <si>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</si>
  <si>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</si>
  <si>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</si>
  <si>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</si>
  <si>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</si>
  <si>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</si>
  <si>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</si>
  <si>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</si>
  <si>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</si>
  <si>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</si>
  <si>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</si>
  <si>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</si>
  <si>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</si>
  <si>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</si>
  <si>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</si>
  <si>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</si>
  <si>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</si>
  <si>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</si>
  <si>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</si>
  <si>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</si>
  <si>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</si>
  <si>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</si>
  <si>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</si>
  <si>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</si>
  <si>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</si>
  <si>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</si>
  <si>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</si>
  <si>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</si>
  <si>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</si>
  <si>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</si>
  <si>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</si>
  <si>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</si>
  <si>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</si>
  <si>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</si>
  <si>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</si>
  <si>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</si>
  <si>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</si>
  <si>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</si>
  <si>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</si>
  <si>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</si>
  <si>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</si>
  <si>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</si>
  <si>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</si>
  <si>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</si>
  <si>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</si>
  <si>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</si>
  <si>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</si>
  <si>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</si>
  <si>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</si>
  <si>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</si>
  <si>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</si>
  <si>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</si>
  <si>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</si>
  <si>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</si>
  <si>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</si>
  <si>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</si>
  <si>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</si>
  <si>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</si>
  <si>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</si>
  <si>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</si>
  <si>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</si>
  <si>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</si>
  <si>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</si>
  <si>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</si>
  <si>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</si>
  <si>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</si>
  <si>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</si>
  <si>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</si>
  <si>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</si>
  <si>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</si>
  <si>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</si>
  <si>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</si>
  <si>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</si>
  <si>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</si>
  <si>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</si>
  <si>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</si>
  <si>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</si>
  <si>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</si>
  <si>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</si>
  <si>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</si>
  <si>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</si>
  <si>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</si>
  <si>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</si>
  <si>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</si>
  <si>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</si>
  <si>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</si>
  <si>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</si>
  <si>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</si>
  <si>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</si>
  <si>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</si>
  <si>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</si>
  <si>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</si>
  <si>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</si>
  <si>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</si>
  <si>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</si>
  <si>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</si>
  <si>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</si>
  <si>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</si>
  <si>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</si>
  <si>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</si>
  <si>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</si>
  <si>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</si>
  <si>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</si>
  <si>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</si>
  <si>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</si>
  <si>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</si>
  <si>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</si>
  <si>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</si>
  <si>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</si>
  <si>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</si>
  <si>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</si>
  <si>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</si>
  <si>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</si>
  <si>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</si>
  <si>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</si>
  <si>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</si>
  <si>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</si>
  <si>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</si>
  <si>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</si>
  <si>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</si>
  <si>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</si>
  <si>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</si>
  <si>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</si>
  <si>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</si>
  <si>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</si>
  <si>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</si>
  <si>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</si>
  <si>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</si>
  <si>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</si>
  <si>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</si>
  <si>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</si>
  <si>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</si>
  <si>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</si>
  <si>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</si>
  <si>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</si>
  <si>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</si>
  <si>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</si>
  <si>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</si>
  <si>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</si>
  <si>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</si>
  <si>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</si>
  <si>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</si>
  <si>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</si>
  <si>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</si>
  <si>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</si>
  <si>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</si>
  <si>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</si>
  <si>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</si>
  <si>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</si>
  <si>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</si>
  <si>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</si>
  <si>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</si>
  <si>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</si>
  <si>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</si>
  <si>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</si>
  <si>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</si>
  <si>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</si>
  <si>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</si>
  <si>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</si>
  <si>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</si>
  <si>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</si>
  <si>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</si>
  <si>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</si>
  <si>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</si>
  <si>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</si>
  <si>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</si>
  <si>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</si>
  <si>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</si>
  <si>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</si>
  <si>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</si>
  <si>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</si>
  <si>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</si>
  <si>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</si>
  <si>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</si>
  <si>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</si>
  <si>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</si>
  <si>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</si>
  <si>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</si>
  <si>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</si>
  <si>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</si>
  <si>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</si>
  <si>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</si>
  <si>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</si>
  <si>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</si>
  <si>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</si>
  <si>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</si>
  <si>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</si>
  <si>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</si>
  <si>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</si>
  <si>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</si>
  <si>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</si>
  <si>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</si>
  <si>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</si>
  <si>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</si>
  <si>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</si>
  <si>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</si>
  <si>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</si>
  <si>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</si>
  <si>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</si>
  <si>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</si>
  <si>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</si>
  <si>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</si>
  <si>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</si>
  <si>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</si>
  <si>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</si>
  <si>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</si>
  <si>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</si>
  <si>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</si>
  <si>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</si>
  <si>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</si>
  <si>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</si>
  <si>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</si>
  <si>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</si>
  <si>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</si>
  <si>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</si>
  <si>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</si>
  <si>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</si>
  <si>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</si>
  <si>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</si>
  <si>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</si>
  <si>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</si>
  <si>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</si>
  <si>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</si>
  <si>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</si>
  <si>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</si>
  <si>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</si>
  <si>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</si>
  <si>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</si>
  <si>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</si>
  <si>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</si>
  <si>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</si>
  <si>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</si>
  <si>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</si>
  <si>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</si>
  <si>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</si>
  <si>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</si>
  <si>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</si>
  <si>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</si>
  <si>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</si>
  <si>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</si>
  <si>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</si>
  <si>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</si>
  <si>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</si>
  <si>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</si>
  <si>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</si>
  <si>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</si>
  <si>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</si>
  <si>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</si>
  <si>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</si>
  <si>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</si>
  <si>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</si>
  <si>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</si>
  <si>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</si>
  <si>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</si>
  <si>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</si>
  <si>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</si>
  <si>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</si>
  <si>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</si>
  <si>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</si>
  <si>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</si>
  <si>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</si>
  <si>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</si>
  <si>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</si>
  <si>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</si>
  <si>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</si>
  <si>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</si>
  <si>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</si>
  <si>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</si>
  <si>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</si>
  <si>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</si>
  <si>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</si>
  <si>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</si>
  <si>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</si>
  <si>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</si>
  <si>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</si>
  <si>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</si>
  <si>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</si>
  <si>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</si>
  <si>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</si>
  <si>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</si>
  <si>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</si>
  <si>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</si>
  <si>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</si>
  <si>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</si>
  <si>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</si>
  <si>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</si>
  <si>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</si>
  <si>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</si>
  <si>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</si>
  <si>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</si>
  <si>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</si>
  <si>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</si>
  <si>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</si>
  <si>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</si>
  <si>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</si>
  <si>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</si>
  <si>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</si>
  <si>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</si>
  <si>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</si>
  <si>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</si>
  <si>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</si>
  <si>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</si>
  <si>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</si>
  <si>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</si>
  <si>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</si>
  <si>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</si>
  <si>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</si>
  <si>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</si>
  <si>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</si>
  <si>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</si>
  <si>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</si>
  <si>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</si>
  <si>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</si>
  <si>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</si>
  <si>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</si>
  <si>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</si>
  <si>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</si>
  <si>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</si>
  <si>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</si>
  <si>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</si>
  <si>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</si>
  <si>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</si>
  <si>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</si>
  <si>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</si>
  <si>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</si>
  <si>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</si>
  <si>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</si>
  <si>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</si>
  <si>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</si>
  <si>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</si>
  <si>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</si>
  <si>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</si>
  <si>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</si>
  <si>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</si>
  <si>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</si>
  <si>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</si>
  <si>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</si>
  <si>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</si>
  <si>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</si>
  <si>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</si>
  <si>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</si>
  <si>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</si>
  <si>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</si>
  <si>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</si>
  <si>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</si>
  <si>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</si>
  <si>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</si>
  <si>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</si>
  <si>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</si>
  <si>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</si>
  <si>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</si>
  <si>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</si>
  <si>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</si>
  <si>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</si>
  <si>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</si>
  <si>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</si>
  <si>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</si>
  <si>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</si>
  <si>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</si>
  <si>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</si>
  <si>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</si>
  <si>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</si>
  <si>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</si>
  <si>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</si>
  <si>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</si>
  <si>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</si>
  <si>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</si>
  <si>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</si>
  <si>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</si>
  <si>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</si>
  <si>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</si>
  <si>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</si>
  <si>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</si>
  <si>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</si>
  <si>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</si>
  <si>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</si>
  <si>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</si>
  <si>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</si>
  <si>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</si>
  <si>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</si>
  <si>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</si>
  <si>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</si>
  <si>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</si>
  <si>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</si>
  <si>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</si>
  <si>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</si>
  <si>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</si>
  <si>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</si>
  <si>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</si>
  <si>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</si>
  <si>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</si>
  <si>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</si>
  <si>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</si>
  <si>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</si>
  <si>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</si>
  <si>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</si>
  <si>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</si>
  <si>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</si>
  <si>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</si>
  <si>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</si>
  <si>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</si>
  <si>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</si>
  <si>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</si>
  <si>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</si>
  <si>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</si>
  <si>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</si>
  <si>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</si>
  <si>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</si>
  <si>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</si>
  <si>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</si>
  <si>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</si>
  <si>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</si>
  <si>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</si>
  <si>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</si>
  <si>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</si>
  <si>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</si>
  <si>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</si>
  <si>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</si>
  <si>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</si>
  <si>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</si>
  <si>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</si>
  <si>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</si>
  <si>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</si>
  <si>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</si>
  <si>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</si>
  <si>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</si>
  <si>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</si>
  <si>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</si>
  <si>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</si>
  <si>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</si>
  <si>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</si>
  <si>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</si>
  <si>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</si>
  <si>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</si>
  <si>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</si>
  <si>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</si>
  <si>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</si>
  <si>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</si>
  <si>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</si>
  <si>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</si>
  <si>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</si>
  <si>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</si>
  <si>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</si>
  <si>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</si>
  <si>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</si>
  <si>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</si>
  <si>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</si>
  <si>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</si>
  <si>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</si>
  <si>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</si>
  <si>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</si>
  <si>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</si>
  <si>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</si>
  <si>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</si>
  <si>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</si>
  <si>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</si>
  <si>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</si>
  <si>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</si>
  <si>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</si>
  <si>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</si>
  <si>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</si>
  <si>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</si>
  <si>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</si>
  <si>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</si>
  <si>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</si>
  <si>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</si>
  <si>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</si>
  <si>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</si>
  <si>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</si>
  <si>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</si>
  <si>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</si>
  <si>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</si>
  <si>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</si>
  <si>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</si>
  <si>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</si>
  <si>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</si>
  <si>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</si>
  <si>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</si>
  <si>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</si>
  <si>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</si>
  <si>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</si>
  <si>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</si>
  <si>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</si>
  <si>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</si>
  <si>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</si>
  <si>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</si>
  <si>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</si>
  <si>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</si>
  <si>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</si>
  <si>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</si>
  <si>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</si>
  <si>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</si>
  <si>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</si>
  <si>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</si>
  <si>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</si>
  <si>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</si>
  <si>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</si>
  <si>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</si>
  <si>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</si>
  <si>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</si>
  <si>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</si>
  <si>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</si>
  <si>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</si>
  <si>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</si>
  <si>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</si>
  <si>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</si>
  <si>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</si>
  <si>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</si>
  <si>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</si>
  <si>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</si>
  <si>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</si>
  <si>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</si>
  <si>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</si>
  <si>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</si>
  <si>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</si>
  <si>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</si>
  <si>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</si>
  <si>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</si>
  <si>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</si>
  <si>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</si>
  <si>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</si>
  <si>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</si>
  <si>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</si>
  <si>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</si>
  <si>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</si>
  <si>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</si>
  <si>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</si>
  <si>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</si>
  <si>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</si>
  <si>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</si>
  <si>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</si>
  <si>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</si>
  <si>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</si>
  <si>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</si>
  <si>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</si>
  <si>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</si>
  <si>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</si>
  <si>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</si>
  <si>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</si>
  <si>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</si>
  <si>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</si>
  <si>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</si>
  <si>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</si>
  <si>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</si>
  <si>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</si>
  <si>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</si>
  <si>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</si>
  <si>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</si>
  <si>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</si>
  <si>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</si>
  <si>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</si>
  <si>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</si>
  <si>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</si>
  <si>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</si>
  <si>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</si>
  <si>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</si>
  <si>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</si>
  <si>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</si>
  <si>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</si>
  <si>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</si>
  <si>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</si>
  <si>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</si>
  <si>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</si>
  <si>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</si>
  <si>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</si>
  <si>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</si>
  <si>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</si>
  <si>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</si>
  <si>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</si>
  <si>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</si>
  <si>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</si>
  <si>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</si>
  <si>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</si>
  <si>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</si>
  <si>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</si>
  <si>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</si>
  <si>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</si>
  <si>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</si>
  <si>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</si>
  <si>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</si>
  <si>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</si>
  <si>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</si>
  <si>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</si>
  <si>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</si>
  <si>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</si>
  <si>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</si>
  <si>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</si>
  <si>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</si>
  <si>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</si>
  <si>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</si>
  <si>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</si>
  <si>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</si>
  <si>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</si>
  <si>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</si>
  <si>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</si>
  <si>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</si>
  <si>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</si>
  <si>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</si>
  <si>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</si>
  <si>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</si>
  <si>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</si>
  <si>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</si>
  <si>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</si>
  <si>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</si>
  <si>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</si>
  <si>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</si>
  <si>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</si>
  <si>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</si>
  <si>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</si>
  <si>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</si>
  <si>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</si>
  <si>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</si>
  <si>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</si>
  <si>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</si>
  <si>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</si>
  <si>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</si>
  <si>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</si>
  <si>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</si>
  <si>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</si>
  <si>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</si>
  <si>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</si>
  <si>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</si>
  <si>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</si>
  <si>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</si>
  <si>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</si>
  <si>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</si>
  <si>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</si>
  <si>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</si>
  <si>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</si>
  <si>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</si>
  <si>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</si>
  <si>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</si>
  <si>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</si>
  <si>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</si>
  <si>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</si>
  <si>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</si>
  <si>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</si>
  <si>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</si>
  <si>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</si>
  <si>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</si>
  <si>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</si>
  <si>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</si>
  <si>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</si>
  <si>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</si>
  <si>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</si>
  <si>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</si>
  <si>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</si>
  <si>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</si>
  <si>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</si>
  <si>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</si>
  <si>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</si>
  <si>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</si>
  <si>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</si>
  <si>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</si>
  <si>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</si>
  <si>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</si>
  <si>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</si>
  <si>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</si>
  <si>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</si>
  <si>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</si>
  <si>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</si>
  <si>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</si>
  <si>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</si>
  <si>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</si>
  <si>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</si>
  <si>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</si>
  <si>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</si>
  <si>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</si>
  <si>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</si>
  <si>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</si>
  <si>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</si>
  <si>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</si>
  <si>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</si>
  <si>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</si>
  <si>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</si>
  <si>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</si>
  <si>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</si>
  <si>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</si>
  <si>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</si>
  <si>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</si>
  <si>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</si>
  <si>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</si>
  <si>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</si>
  <si>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</si>
  <si>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</si>
  <si>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</si>
  <si>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</si>
  <si>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</si>
  <si>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</si>
  <si>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</si>
  <si>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</si>
  <si>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</si>
  <si>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</si>
  <si>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</si>
  <si>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</si>
  <si>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</si>
  <si>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</si>
  <si>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</si>
  <si>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</si>
  <si>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</si>
  <si>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</si>
  <si>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</si>
  <si>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</si>
  <si>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</si>
  <si>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</si>
  <si>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</si>
  <si>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</si>
  <si>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</si>
  <si>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</si>
  <si>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</si>
  <si>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</si>
  <si>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</si>
  <si>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</si>
  <si>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</si>
  <si>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</si>
  <si>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</si>
  <si>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</si>
  <si>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</si>
  <si>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</si>
  <si>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</si>
  <si>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</si>
  <si>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</si>
  <si>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</si>
  <si>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</si>
  <si>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</si>
  <si>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</si>
  <si>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</si>
  <si>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</si>
  <si>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</si>
  <si>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</si>
  <si>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</si>
  <si>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</si>
  <si>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</si>
  <si>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</si>
  <si>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</si>
  <si>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</si>
  <si>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</si>
  <si>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</si>
  <si>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</si>
  <si>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</si>
  <si>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</si>
  <si>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</si>
  <si>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</si>
  <si>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</si>
  <si>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</si>
  <si>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</si>
  <si>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</si>
  <si>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</si>
  <si>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</si>
  <si>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</si>
  <si>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</si>
  <si>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</si>
  <si>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</si>
  <si>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</si>
  <si>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</si>
  <si>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</si>
  <si>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</si>
  <si>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</si>
  <si>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</si>
  <si>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</si>
  <si>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</si>
  <si>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</si>
  <si>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</si>
  <si>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</si>
  <si>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</si>
  <si>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</si>
  <si>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</si>
  <si>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</si>
  <si>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</si>
  <si>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</si>
  <si>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</si>
  <si>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</si>
  <si>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</si>
  <si>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</si>
  <si>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</si>
  <si>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</si>
  <si>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</si>
  <si>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</si>
  <si>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</si>
  <si>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</si>
  <si>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</si>
  <si>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</si>
  <si>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</si>
  <si>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</si>
  <si>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</si>
  <si>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</si>
  <si>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</si>
  <si>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</si>
  <si>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</si>
  <si>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</si>
  <si>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</si>
  <si>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</si>
  <si>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</si>
  <si>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</si>
  <si>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</si>
  <si>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</si>
  <si>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</si>
  <si>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</si>
  <si>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</si>
  <si>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</si>
  <si>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</si>
  <si>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</si>
  <si>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</si>
  <si>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</si>
  <si>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</si>
  <si>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</si>
  <si>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</si>
  <si>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</si>
  <si>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</si>
  <si>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</si>
  <si>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</si>
  <si>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</si>
  <si>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</si>
  <si>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</si>
  <si>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</si>
  <si>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</si>
  <si>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</si>
  <si>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</si>
  <si>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</si>
  <si>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</si>
  <si>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</si>
  <si>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</si>
  <si>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</si>
  <si>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</si>
  <si>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</si>
  <si>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</si>
  <si>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</si>
  <si>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</si>
  <si>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</si>
  <si>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</si>
  <si>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</si>
  <si>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</si>
  <si>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</si>
  <si>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</si>
  <si>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</si>
  <si>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</si>
  <si>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</si>
  <si>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</si>
  <si>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</si>
  <si>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</si>
  <si>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</si>
  <si>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</si>
  <si>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</si>
  <si>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</si>
  <si>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</si>
  <si>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</si>
  <si>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</si>
  <si>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</si>
  <si>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</si>
  <si>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</si>
  <si>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</si>
  <si>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</si>
  <si>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</si>
  <si>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</si>
  <si>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</si>
  <si>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</si>
  <si>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</si>
  <si>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</si>
  <si>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</si>
  <si>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</si>
  <si>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</si>
  <si>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</si>
  <si>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</si>
  <si>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</si>
  <si>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</si>
  <si>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</si>
  <si>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</si>
  <si>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</si>
  <si>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</si>
  <si>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</si>
  <si>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</si>
  <si>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</si>
  <si>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</si>
  <si>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</si>
  <si>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</si>
  <si>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</si>
  <si>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</si>
  <si>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</si>
  <si>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</si>
  <si>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</si>
  <si>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</si>
  <si>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</si>
  <si>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</si>
  <si>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</si>
  <si>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</si>
  <si>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</si>
  <si>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</si>
  <si>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</si>
  <si>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</si>
  <si>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</si>
  <si>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</si>
  <si>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</si>
  <si>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</si>
  <si>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</si>
  <si>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</si>
  <si>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</si>
  <si>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</si>
  <si>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</si>
  <si>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</si>
  <si>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</si>
  <si>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</si>
  <si>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</si>
  <si>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</si>
  <si>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</si>
  <si>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</si>
  <si>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</si>
  <si>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</si>
  <si>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</si>
  <si>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</si>
  <si>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</si>
  <si>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</si>
  <si>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</si>
  <si>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</si>
  <si>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</si>
  <si>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</si>
  <si>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</si>
  <si>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</si>
  <si>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</si>
  <si>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</si>
  <si>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</si>
  <si>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</si>
  <si>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</si>
  <si>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</si>
  <si>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</si>
  <si>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</si>
  <si>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</si>
  <si>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</si>
  <si>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</si>
  <si>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</si>
  <si>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</si>
  <si>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</si>
  <si>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</si>
  <si>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</si>
  <si>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</si>
  <si>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</si>
  <si>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</si>
  <si>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</si>
  <si>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</si>
  <si>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</si>
  <si>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</si>
  <si>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</si>
  <si>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</si>
  <si>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</si>
  <si>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</si>
  <si>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</si>
  <si>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</si>
  <si>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</si>
  <si>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</si>
  <si>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</si>
  <si>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</si>
  <si>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</si>
  <si>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</si>
  <si>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</si>
  <si>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</si>
  <si>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</si>
  <si>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</si>
  <si>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</si>
  <si>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</si>
  <si>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</si>
  <si>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</si>
  <si>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</si>
  <si>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</si>
  <si>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</si>
  <si>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</si>
  <si>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</si>
  <si>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</si>
  <si>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</si>
  <si>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</si>
  <si>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</si>
  <si>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</si>
  <si>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</si>
  <si>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</si>
  <si>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</si>
  <si>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</si>
  <si>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</si>
  <si>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</si>
  <si>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</si>
  <si>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</si>
  <si>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</si>
  <si>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</si>
  <si>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</si>
  <si>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</si>
  <si>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</si>
  <si>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</si>
  <si>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</si>
  <si>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</si>
  <si>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</si>
  <si>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</si>
  <si>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</si>
  <si>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</si>
  <si>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</si>
  <si>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</si>
  <si>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</si>
  <si>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</si>
  <si>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</si>
  <si>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</si>
  <si>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</si>
  <si>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</si>
  <si>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</si>
  <si>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</si>
  <si>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</si>
  <si>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</si>
  <si>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</si>
  <si>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</si>
  <si>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</si>
  <si>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</si>
  <si>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</si>
  <si>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</si>
  <si>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</si>
  <si>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</si>
  <si>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</si>
  <si>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</si>
  <si>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</si>
  <si>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</si>
  <si>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</si>
  <si>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</si>
  <si>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</si>
  <si>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</si>
  <si>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</si>
  <si>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</si>
  <si>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</si>
  <si>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</si>
  <si>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</si>
  <si>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</si>
  <si>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</si>
  <si>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</si>
  <si>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</si>
  <si>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</si>
  <si>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</si>
  <si>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</si>
  <si>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</si>
  <si>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</si>
  <si>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</si>
  <si>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</si>
  <si>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</si>
  <si>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</si>
  <si>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</si>
  <si>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</si>
  <si>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</si>
  <si>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</si>
  <si>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</si>
  <si>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</si>
  <si>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</si>
  <si>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</si>
  <si>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</si>
  <si>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</si>
  <si>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</si>
  <si>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</si>
  <si>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</si>
  <si>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</si>
  <si>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</si>
  <si>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</si>
  <si>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</si>
  <si>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</si>
  <si>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</si>
  <si>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</si>
  <si>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</si>
  <si>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</si>
  <si>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</si>
  <si>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</si>
  <si>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</si>
  <si>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</si>
  <si>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</si>
  <si>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</si>
  <si>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</si>
  <si>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</si>
  <si>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</si>
  <si>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</si>
  <si>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</si>
  <si>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</si>
  <si>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</si>
  <si>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</si>
  <si>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</si>
  <si>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</si>
  <si>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</si>
  <si>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</si>
  <si>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</si>
  <si>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</si>
  <si>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</si>
  <si>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</si>
  <si>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</si>
  <si>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</si>
  <si>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</si>
  <si>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</si>
  <si>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</si>
  <si>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</si>
  <si>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</si>
  <si>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</si>
  <si>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</si>
  <si>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</si>
  <si>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</si>
  <si>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</si>
  <si>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</si>
  <si>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</si>
  <si>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</si>
  <si>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</si>
  <si>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</si>
  <si>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</si>
  <si>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</si>
  <si>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</si>
  <si>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</si>
  <si>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</si>
  <si>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</si>
  <si>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</si>
  <si>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</si>
  <si>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</si>
  <si>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</si>
  <si>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</si>
  <si>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</si>
  <si>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</si>
  <si>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</si>
  <si>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</si>
  <si>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</si>
  <si>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</si>
  <si>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</si>
  <si>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</si>
  <si>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</si>
  <si>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</si>
  <si>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</si>
  <si>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</si>
  <si>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</si>
  <si>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</si>
  <si>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</si>
  <si>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</si>
  <si>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</si>
  <si>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</si>
  <si>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</si>
  <si>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</si>
  <si>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</si>
  <si>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</si>
  <si>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</si>
  <si>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</si>
  <si>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</si>
  <si>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</si>
  <si>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</si>
  <si>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</si>
  <si>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</si>
  <si>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</si>
  <si>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</si>
  <si>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</si>
  <si>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</si>
  <si>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</si>
  <si>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</si>
  <si>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</si>
  <si>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</si>
  <si>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</si>
  <si>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</si>
  <si>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</si>
  <si>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</si>
  <si>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</si>
  <si>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</si>
  <si>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</si>
  <si>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</si>
  <si>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</si>
  <si>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</si>
  <si>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</si>
  <si>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</si>
  <si>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</si>
  <si>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</si>
  <si>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</si>
  <si>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</si>
  <si>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</si>
  <si>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</si>
  <si>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</si>
  <si>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</si>
  <si>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</si>
  <si>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</si>
  <si>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</si>
  <si>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</si>
  <si>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</si>
  <si>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</si>
  <si>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</si>
  <si>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</si>
  <si>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</si>
  <si>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</si>
  <si>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</si>
  <si>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</si>
  <si>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</si>
  <si>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</si>
  <si>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</si>
  <si>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</si>
  <si>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</si>
  <si>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</si>
  <si>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</si>
  <si>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</si>
  <si>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</si>
  <si>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</si>
  <si>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</si>
  <si>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</si>
  <si>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</si>
  <si>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</si>
  <si>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</si>
  <si>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</si>
  <si>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</si>
  <si>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</si>
  <si>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</si>
  <si>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</si>
  <si>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</si>
  <si>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</si>
  <si>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</si>
  <si>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</si>
  <si>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</si>
  <si>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</si>
  <si>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</si>
  <si>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</si>
  <si>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</si>
  <si>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</si>
  <si>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</si>
  <si>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</si>
  <si>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</si>
  <si>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</si>
  <si>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</si>
  <si>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</si>
  <si>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</si>
  <si>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</si>
  <si>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</si>
  <si>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</si>
  <si>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</si>
  <si>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</si>
  <si>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</si>
  <si>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</si>
  <si>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</si>
  <si>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</si>
  <si>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</si>
  <si>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</si>
  <si>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</si>
  <si>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</si>
  <si>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</si>
  <si>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</si>
  <si>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</si>
  <si>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</si>
  <si>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</si>
  <si>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</si>
  <si>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</si>
  <si>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</si>
  <si>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</si>
  <si>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</si>
  <si>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</si>
  <si>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</si>
  <si>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</si>
  <si>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</si>
  <si>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</si>
  <si>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</si>
  <si>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</si>
  <si>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</si>
  <si>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</si>
  <si>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</si>
  <si>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</si>
  <si>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</si>
  <si>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</si>
  <si>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</si>
  <si>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</si>
  <si>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</si>
  <si>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</si>
  <si>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</si>
  <si>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</si>
  <si>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</si>
  <si>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</si>
  <si>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</si>
  <si>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</si>
  <si>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</si>
  <si>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</si>
  <si>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</si>
  <si>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</si>
  <si>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</si>
  <si>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</si>
  <si>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</si>
  <si>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</si>
  <si>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</si>
  <si>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</si>
  <si>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</si>
  <si>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</si>
  <si>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</si>
  <si>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</si>
  <si>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</si>
  <si>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</si>
  <si>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</si>
  <si>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</si>
  <si>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</si>
  <si>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</si>
  <si>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</si>
  <si>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</si>
  <si>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</si>
  <si>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</si>
  <si>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</si>
  <si>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</si>
  <si>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</si>
  <si>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</si>
  <si>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</si>
  <si>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</si>
  <si>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</si>
  <si>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</si>
  <si>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</si>
  <si>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</si>
  <si>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</si>
  <si>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</si>
  <si>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</si>
  <si>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</si>
  <si>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</si>
  <si>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</si>
  <si>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</si>
  <si>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</si>
  <si>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</si>
  <si>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</si>
  <si>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</si>
  <si>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</si>
  <si>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</si>
  <si>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</si>
  <si>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</si>
  <si>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</si>
  <si>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</si>
  <si>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</si>
  <si>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</si>
  <si>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</si>
  <si>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</si>
  <si>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</si>
  <si>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</si>
  <si>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</si>
  <si>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</si>
  <si>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</si>
  <si>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</si>
  <si>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</si>
  <si>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</si>
  <si>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</si>
  <si>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</si>
  <si>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</si>
  <si>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</si>
  <si>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</si>
  <si>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</si>
  <si>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</si>
  <si>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</si>
  <si>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</si>
  <si>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</si>
  <si>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</si>
  <si>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</si>
  <si>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</si>
  <si>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</si>
  <si>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</si>
  <si>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</si>
  <si>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</si>
  <si>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</si>
  <si>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</si>
  <si>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</si>
  <si>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</si>
  <si>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</si>
  <si>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</si>
  <si>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</si>
  <si>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</si>
  <si>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</si>
  <si>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</si>
  <si>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</si>
  <si>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</si>
  <si>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</si>
  <si>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</si>
  <si>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</si>
  <si>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</si>
  <si>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</si>
  <si>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</si>
  <si>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</si>
  <si>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</si>
  <si>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</si>
  <si>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</si>
  <si>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</si>
  <si>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</si>
  <si>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</si>
  <si>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</si>
  <si>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</si>
  <si>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</si>
  <si>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</si>
  <si>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</si>
  <si>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</si>
  <si>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</si>
  <si>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</si>
  <si>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</si>
  <si>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</si>
  <si>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</si>
  <si>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</si>
  <si>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</si>
  <si>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</si>
  <si>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</si>
  <si>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</si>
  <si>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</si>
  <si>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</si>
  <si>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</si>
  <si>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</si>
  <si>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</si>
  <si>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</si>
  <si>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</si>
  <si>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</si>
  <si>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</si>
  <si>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</si>
  <si>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</si>
  <si>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</si>
  <si>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</si>
  <si>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</si>
  <si>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</si>
  <si>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</si>
  <si>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</si>
  <si>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</si>
  <si>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</si>
  <si>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</si>
  <si>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</si>
  <si>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</si>
  <si>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</si>
  <si>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</si>
  <si>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</si>
  <si>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</si>
  <si>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</si>
  <si>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</si>
  <si>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</si>
  <si>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</si>
  <si>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</si>
  <si>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</si>
  <si>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</si>
  <si>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</si>
  <si>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</si>
  <si>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</si>
  <si>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</si>
  <si>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</si>
  <si>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</si>
  <si>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</si>
  <si>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</si>
  <si>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</si>
  <si>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</si>
  <si>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</si>
  <si>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</si>
  <si>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</si>
  <si>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</si>
  <si>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</si>
  <si>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</si>
  <si>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</si>
  <si>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</si>
  <si>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</si>
  <si>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</si>
  <si>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</si>
  <si>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</si>
  <si>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</si>
  <si>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</si>
  <si>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</si>
  <si>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</si>
  <si>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</si>
  <si>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</si>
  <si>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</si>
  <si>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</si>
  <si>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</si>
  <si>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</si>
  <si>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</si>
  <si>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</si>
  <si>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</si>
  <si>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</si>
  <si>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</si>
  <si>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</si>
  <si>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</si>
  <si>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</si>
  <si>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</si>
  <si>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</si>
  <si>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</si>
  <si>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</si>
  <si>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</si>
  <si>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</si>
  <si>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</si>
  <si>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</si>
  <si>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</si>
  <si>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</si>
  <si>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</si>
  <si>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</si>
  <si>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</si>
  <si>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</si>
  <si>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</si>
  <si>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</si>
  <si>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</si>
  <si>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</si>
  <si>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</si>
  <si>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</si>
  <si>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</si>
  <si>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</si>
  <si>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</si>
  <si>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</si>
  <si>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</si>
  <si>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</si>
  <si>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</si>
  <si>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</si>
  <si>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</si>
  <si>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</si>
  <si>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</si>
  <si>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</si>
  <si>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</si>
  <si>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</si>
  <si>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</si>
  <si>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</si>
  <si>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</si>
  <si>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</si>
  <si>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</si>
  <si>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</si>
  <si>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</si>
  <si>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</si>
  <si>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</si>
  <si>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</si>
  <si>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</si>
  <si>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</si>
  <si>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</si>
  <si>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</si>
  <si>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</si>
  <si>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</si>
  <si>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</si>
  <si>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</si>
  <si>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</si>
  <si>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</si>
  <si>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</si>
  <si>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</si>
  <si>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</si>
  <si>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</si>
  <si>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</si>
  <si>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</si>
  <si>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</si>
  <si>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</si>
  <si>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</si>
  <si>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</si>
  <si>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</si>
  <si>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</si>
  <si>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</si>
  <si>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</si>
  <si>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</si>
  <si>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</si>
  <si>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</si>
  <si>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</si>
  <si>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</si>
  <si>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</si>
  <si>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</si>
  <si>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</si>
  <si>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</si>
  <si>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</si>
  <si>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</si>
  <si>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</si>
  <si>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</si>
  <si>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</si>
  <si>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</si>
  <si>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</si>
  <si>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</si>
  <si>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</si>
  <si>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</si>
  <si>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</si>
  <si>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</si>
  <si>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</si>
  <si>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</si>
  <si>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</si>
  <si>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</si>
  <si>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</si>
  <si>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</si>
  <si>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</si>
  <si>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</si>
  <si>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</si>
  <si>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</si>
  <si>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</si>
  <si>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</si>
  <si>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</si>
  <si>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</si>
  <si>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</si>
  <si>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</si>
  <si>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</si>
  <si>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</si>
  <si>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</si>
  <si>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</si>
  <si>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</si>
  <si>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</si>
  <si>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</si>
  <si>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</si>
  <si>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</si>
  <si>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</si>
  <si>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</si>
  <si>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</si>
  <si>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</si>
  <si>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</si>
  <si>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</si>
  <si>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</si>
  <si>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</si>
  <si>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</si>
  <si>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</si>
  <si>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</si>
  <si>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</si>
  <si>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</si>
  <si>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</si>
  <si>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</si>
  <si>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</si>
  <si>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</si>
  <si>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</si>
  <si>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</si>
  <si>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</si>
  <si>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</si>
  <si>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</si>
  <si>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</si>
  <si>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</si>
  <si>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</si>
  <si>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</si>
  <si>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</si>
  <si>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</si>
  <si>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</si>
  <si>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</si>
  <si>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</si>
  <si>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</si>
  <si>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</si>
  <si>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</si>
  <si>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</si>
  <si>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</si>
  <si>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</si>
  <si>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</si>
  <si>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</si>
  <si>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</si>
  <si>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</si>
  <si>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</si>
  <si>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</si>
  <si>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</si>
  <si>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</si>
  <si>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</si>
  <si>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</si>
  <si>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</si>
  <si>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</si>
  <si>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</si>
  <si>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</si>
  <si>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</si>
  <si>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</si>
  <si>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</si>
  <si>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</si>
  <si>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</si>
  <si>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</si>
  <si>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</si>
  <si>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</si>
  <si>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</si>
  <si>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</si>
  <si>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</si>
  <si>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</si>
  <si>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</si>
  <si>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</si>
  <si>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</si>
  <si>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</si>
  <si>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</si>
  <si>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</si>
  <si>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</si>
  <si>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</si>
  <si>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</si>
  <si>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</si>
  <si>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</si>
  <si>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</si>
  <si>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</si>
  <si>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</si>
  <si>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</si>
  <si>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</si>
  <si>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</si>
  <si>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</si>
  <si>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</si>
  <si>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</si>
  <si>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</si>
  <si>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</si>
  <si>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</si>
  <si>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</si>
  <si>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</si>
  <si>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</si>
  <si>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</si>
  <si>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</si>
  <si>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</si>
  <si>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</si>
  <si>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</si>
  <si>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</si>
  <si>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</si>
  <si>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</si>
  <si>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</si>
  <si>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</si>
  <si>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</si>
  <si>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</si>
  <si>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</si>
  <si>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</si>
  <si>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</si>
  <si>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</si>
  <si>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</si>
  <si>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</si>
  <si>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</si>
  <si>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</si>
  <si>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</si>
  <si>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</si>
  <si>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</si>
  <si>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</si>
  <si>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</si>
  <si>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</si>
  <si>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</si>
  <si>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</si>
  <si>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</si>
  <si>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</si>
  <si>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</si>
  <si>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</si>
  <si>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</si>
  <si>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</si>
  <si>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</si>
  <si>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</si>
  <si>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</si>
  <si>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</si>
  <si>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</si>
  <si>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</si>
  <si>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</si>
  <si>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</si>
  <si>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</si>
  <si>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</si>
  <si>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</si>
  <si>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</si>
  <si>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</si>
  <si>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</si>
  <si>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</si>
  <si>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</si>
  <si>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</si>
  <si>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</si>
  <si>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</si>
  <si>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</si>
  <si>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</si>
  <si>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</si>
  <si>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</si>
  <si>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</si>
  <si>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</si>
  <si>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</si>
  <si>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</si>
  <si>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</si>
  <si>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</si>
  <si>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</si>
  <si>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</si>
  <si>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</si>
  <si>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</si>
  <si>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</si>
  <si>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</si>
  <si>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</si>
  <si>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</si>
  <si>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</si>
  <si>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</si>
  <si>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</si>
  <si>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</si>
  <si>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</si>
  <si>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</si>
  <si>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</si>
  <si>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</si>
  <si>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</si>
  <si>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</si>
  <si>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</si>
  <si>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</si>
  <si>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</si>
  <si>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</si>
  <si>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</si>
  <si>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</si>
  <si>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</si>
  <si>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</si>
  <si>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</si>
  <si>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</si>
  <si>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</si>
  <si>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</si>
  <si>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</si>
  <si>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</si>
  <si>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</si>
  <si>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</si>
  <si>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</si>
  <si>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</si>
  <si>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</si>
  <si>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</si>
  <si>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</si>
  <si>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</si>
  <si>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</si>
  <si>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</si>
  <si>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</si>
  <si>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</si>
  <si>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</si>
  <si>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</si>
  <si>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</si>
  <si>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</si>
  <si>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</si>
  <si>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</si>
  <si>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</si>
  <si>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</si>
  <si>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</si>
  <si>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</si>
  <si>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</si>
  <si>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</si>
  <si>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</si>
  <si>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</si>
  <si>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</si>
  <si>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</si>
  <si>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</si>
  <si>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</si>
  <si>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</si>
  <si>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</si>
  <si>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</si>
  <si>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</si>
  <si>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</si>
  <si>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</si>
  <si>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</si>
  <si>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</si>
  <si>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</si>
  <si>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</si>
  <si>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</si>
  <si>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</si>
  <si>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</si>
  <si>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</si>
  <si>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</si>
  <si>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</si>
  <si>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</si>
  <si>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</si>
  <si>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</si>
  <si>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</si>
  <si>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</si>
  <si>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</si>
  <si>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</si>
  <si>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</si>
  <si>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</si>
  <si>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</si>
  <si>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</si>
  <si>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</si>
  <si>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</si>
  <si>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</si>
  <si>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</si>
  <si>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</si>
  <si>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</si>
  <si>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</si>
  <si>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</si>
  <si>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</si>
  <si>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</si>
  <si>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</si>
  <si>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</si>
  <si>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</si>
  <si>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</si>
  <si>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</si>
  <si>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</si>
  <si>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</si>
  <si>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</si>
  <si>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</si>
  <si>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</si>
  <si>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</si>
  <si>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</si>
  <si>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</si>
  <si>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</si>
  <si>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</si>
  <si>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</si>
  <si>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</si>
  <si>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</si>
  <si>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</si>
  <si>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</si>
  <si>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</si>
  <si>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</si>
  <si>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</si>
  <si>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</si>
  <si>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</si>
  <si>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</si>
  <si>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</si>
  <si>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</si>
  <si>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</si>
  <si>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</si>
  <si>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</si>
  <si>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</si>
  <si>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</si>
  <si>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</si>
  <si>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</si>
  <si>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</si>
  <si>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</si>
  <si>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</si>
  <si>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</si>
  <si>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</si>
  <si>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</si>
  <si>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</si>
  <si>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</si>
  <si>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</si>
  <si>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</si>
  <si>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</si>
  <si>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</si>
  <si>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</si>
  <si>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</si>
  <si>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</si>
  <si>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</si>
  <si>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</si>
  <si>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</si>
  <si>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</si>
  <si>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</si>
  <si>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</si>
  <si>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</si>
  <si>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</si>
  <si>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</si>
  <si>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</si>
  <si>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</si>
  <si>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</si>
  <si>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</si>
  <si>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</si>
  <si>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</si>
  <si>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</si>
  <si>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</si>
  <si>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</si>
  <si>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</si>
  <si>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</si>
  <si>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</si>
  <si>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</si>
  <si>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</si>
  <si>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</si>
  <si>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</si>
  <si>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</si>
  <si>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</si>
  <si>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</si>
  <si>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</si>
  <si>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</si>
  <si>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</si>
  <si>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</si>
  <si>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</si>
  <si>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</si>
  <si>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</si>
  <si>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</si>
  <si>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</si>
  <si>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</si>
  <si>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</si>
  <si>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</si>
  <si>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</si>
  <si>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</si>
  <si>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</si>
  <si>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</si>
  <si>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</si>
  <si>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</si>
  <si>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</si>
  <si>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</si>
  <si>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</si>
  <si>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</si>
  <si>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</si>
  <si>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</si>
  <si>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</si>
  <si>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</si>
  <si>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</si>
  <si>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</si>
  <si>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</si>
  <si>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</si>
  <si>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</si>
  <si>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</si>
  <si>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</si>
  <si>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</si>
  <si>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</si>
  <si>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</si>
  <si>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</si>
  <si>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</si>
  <si>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</si>
  <si>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</si>
  <si>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</si>
  <si>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</si>
  <si>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</si>
  <si>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</si>
  <si>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</si>
  <si>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</si>
  <si>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</si>
  <si>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</si>
  <si>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</si>
  <si>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</si>
  <si>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</si>
  <si>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</si>
  <si>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</si>
  <si>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</si>
  <si>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</si>
  <si>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</si>
  <si>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</si>
  <si>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</si>
  <si>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</si>
  <si>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</si>
  <si>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</si>
  <si>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</si>
  <si>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</si>
  <si>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</si>
  <si>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</si>
  <si>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</si>
  <si>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</si>
  <si>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</si>
  <si>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</si>
  <si>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</si>
  <si>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</si>
  <si>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</si>
  <si>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</si>
  <si>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</si>
  <si>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</si>
  <si>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</si>
  <si>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</si>
  <si>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</si>
  <si>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</si>
  <si>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</si>
  <si>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</si>
  <si>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</si>
  <si>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</si>
  <si>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</si>
  <si>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</si>
  <si>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</si>
  <si>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</si>
  <si>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</si>
  <si>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</si>
  <si>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</si>
  <si>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</si>
  <si>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</si>
  <si>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</si>
  <si>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</si>
  <si>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</si>
  <si>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</si>
  <si>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</si>
  <si>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</si>
  <si>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</si>
  <si>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</si>
  <si>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</si>
  <si>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</si>
  <si>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</si>
  <si>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</si>
  <si>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</si>
  <si>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</si>
  <si>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</si>
  <si>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</si>
  <si>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</si>
  <si>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</si>
  <si>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</si>
  <si>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</si>
  <si>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</si>
  <si>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</si>
  <si>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</si>
  <si>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</si>
  <si>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</si>
  <si>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</si>
  <si>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</si>
  <si>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</si>
  <si>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</si>
  <si>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</si>
  <si>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</si>
  <si>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</si>
  <si>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</si>
  <si>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</si>
  <si>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</si>
  <si>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</si>
  <si>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</si>
  <si>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</si>
  <si>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</si>
  <si>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</si>
  <si>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</si>
  <si>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</si>
  <si>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</si>
  <si>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</si>
  <si>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</si>
  <si>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</si>
  <si>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</si>
  <si>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</si>
  <si>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</si>
  <si>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</si>
  <si>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</si>
  <si>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</si>
  <si>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</si>
  <si>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</si>
  <si>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</si>
  <si>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</si>
  <si>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</si>
  <si>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</si>
  <si>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</si>
  <si>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</si>
  <si>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</si>
  <si>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</si>
  <si>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</si>
  <si>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</si>
  <si>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</si>
  <si>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</si>
  <si>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</si>
  <si>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</si>
  <si>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</si>
  <si>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</si>
  <si>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</si>
  <si>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</si>
  <si>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</si>
  <si>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</si>
  <si>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</si>
  <si>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</si>
  <si>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</si>
  <si>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</si>
  <si>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</si>
  <si>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</si>
  <si>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</si>
  <si>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</si>
  <si>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</si>
  <si>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</si>
  <si>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</si>
  <si>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</si>
  <si>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</si>
  <si>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</si>
  <si>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</si>
  <si>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</si>
  <si>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</si>
  <si>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</si>
  <si>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</si>
  <si>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</si>
  <si>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</si>
  <si>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</si>
  <si>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</si>
  <si>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</si>
  <si>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</si>
  <si>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</si>
  <si>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</si>
  <si>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</si>
  <si>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</si>
  <si>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</si>
  <si>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</si>
  <si>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</si>
  <si>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</si>
  <si>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</si>
  <si>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</si>
  <si>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</si>
  <si>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</si>
  <si>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</si>
  <si>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</si>
  <si>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</si>
  <si>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</si>
  <si>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</si>
  <si>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</si>
  <si>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</si>
  <si>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</si>
  <si>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</si>
  <si>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</si>
  <si>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</si>
  <si>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</si>
  <si>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</si>
  <si>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</si>
  <si>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</si>
  <si>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</si>
  <si>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</si>
  <si>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</si>
  <si>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</si>
  <si>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</si>
  <si>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</si>
  <si>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</si>
  <si>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</si>
  <si>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</si>
  <si>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</si>
  <si>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</si>
  <si>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</si>
  <si>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</si>
  <si>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</si>
  <si>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</si>
  <si>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</si>
  <si>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</si>
  <si>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</si>
  <si>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</si>
  <si>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</si>
  <si>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</si>
  <si>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</si>
  <si>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</si>
  <si>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</si>
  <si>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</si>
  <si>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</si>
  <si>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</si>
  <si>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</si>
  <si>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</si>
  <si>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</si>
  <si>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</si>
  <si>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</si>
  <si>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</si>
  <si>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</si>
  <si>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</si>
  <si>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</si>
  <si>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</si>
  <si>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</si>
  <si>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</si>
  <si>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</si>
  <si>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</si>
  <si>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</si>
  <si>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</si>
  <si>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</si>
  <si>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</si>
  <si>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</si>
  <si>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</si>
  <si>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</si>
  <si>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</si>
  <si>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</si>
  <si>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</si>
  <si>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</si>
  <si>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</si>
  <si>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</si>
  <si>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</si>
  <si>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</si>
  <si>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</si>
  <si>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</si>
  <si>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</si>
  <si>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</si>
  <si>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</si>
  <si>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</si>
  <si>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</si>
  <si>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</si>
  <si>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</si>
  <si>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</si>
  <si>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</si>
  <si>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</si>
  <si>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</si>
  <si>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</si>
  <si>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</si>
  <si>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</si>
  <si>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</si>
  <si>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</si>
  <si>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</si>
  <si>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</si>
  <si>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</si>
  <si>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</si>
  <si>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</si>
  <si>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</si>
  <si>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</si>
  <si>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</si>
  <si>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</si>
  <si>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</si>
  <si>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</si>
  <si>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</si>
  <si>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</si>
  <si>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</si>
  <si>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</si>
  <si>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</si>
  <si>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</si>
  <si>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</si>
  <si>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</si>
  <si>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</si>
  <si>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</si>
  <si>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</si>
  <si>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</si>
  <si>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</si>
  <si>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</si>
  <si>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</si>
  <si>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</si>
  <si>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</si>
  <si>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</si>
  <si>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</si>
  <si>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</si>
  <si>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</si>
  <si>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</si>
  <si>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</si>
  <si>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</si>
  <si>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</si>
  <si>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</si>
  <si>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</si>
  <si>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</si>
  <si>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</si>
  <si>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</si>
  <si>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</si>
  <si>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</si>
  <si>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</si>
  <si>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</si>
  <si>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</si>
  <si>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</si>
  <si>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</si>
  <si>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</si>
  <si>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</si>
  <si>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</si>
  <si>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</si>
  <si>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</si>
  <si>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</si>
  <si>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</si>
  <si>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</si>
  <si>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</si>
  <si>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</si>
  <si>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</si>
  <si>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</si>
  <si>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</si>
  <si>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</si>
  <si>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</si>
  <si>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</si>
  <si>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</si>
  <si>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</si>
  <si>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</si>
  <si>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</si>
  <si>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</si>
  <si>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</si>
  <si>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</si>
  <si>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</si>
  <si>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</si>
  <si>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</si>
  <si>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</si>
  <si>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</si>
  <si>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</si>
  <si>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</si>
  <si>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</si>
  <si>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</si>
  <si>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</si>
  <si>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</si>
  <si>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</si>
  <si>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</si>
  <si>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</si>
  <si>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</si>
  <si>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</si>
  <si>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</si>
  <si>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</si>
  <si>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</si>
  <si>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</si>
  <si>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</si>
  <si>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</si>
  <si>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</si>
  <si>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</si>
  <si>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</si>
  <si>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</si>
  <si>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</si>
  <si>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</si>
  <si>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</si>
  <si>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</si>
  <si>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</si>
  <si>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</si>
  <si>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</si>
  <si>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</si>
  <si>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</si>
  <si>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</si>
  <si>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</si>
  <si>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</si>
  <si>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</si>
  <si>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</si>
  <si>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</si>
  <si>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</si>
  <si>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</si>
  <si>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</si>
  <si>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</si>
  <si>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</si>
  <si>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</si>
  <si>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</si>
  <si>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</si>
  <si>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</si>
  <si>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</si>
  <si>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</si>
  <si>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</si>
  <si>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</si>
  <si>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</si>
  <si>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</si>
  <si>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</si>
  <si>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</si>
  <si>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</si>
  <si>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</si>
  <si>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</si>
  <si>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</si>
  <si>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</si>
  <si>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</si>
  <si>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</si>
  <si>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</si>
  <si>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</si>
  <si>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</si>
  <si>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</si>
  <si>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</si>
  <si>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</si>
  <si>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</si>
  <si>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</si>
  <si>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</si>
  <si>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</si>
  <si>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</si>
  <si>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</si>
  <si>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</si>
  <si>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</si>
  <si>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</si>
  <si>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</si>
  <si>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</si>
  <si>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</si>
  <si>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</si>
  <si>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</si>
  <si>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</si>
  <si>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</si>
  <si>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</si>
  <si>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</si>
  <si>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</si>
  <si>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</si>
  <si>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</si>
  <si>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</si>
  <si>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</si>
  <si>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</si>
  <si>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</si>
  <si>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</si>
  <si>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</si>
  <si>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</si>
  <si>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</si>
  <si>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</si>
  <si>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</si>
  <si>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</si>
  <si>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</si>
  <si>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</si>
  <si>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</si>
  <si>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</si>
  <si>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</si>
  <si>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</si>
  <si>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</si>
  <si>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</si>
  <si>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</si>
  <si>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</si>
  <si>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</si>
  <si>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</si>
  <si>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</si>
  <si>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</si>
  <si>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</si>
  <si>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</si>
  <si>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</si>
  <si>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</si>
  <si>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</si>
  <si>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</si>
  <si>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</si>
  <si>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</si>
  <si>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</si>
  <si>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</si>
  <si>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</si>
  <si>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</si>
  <si>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</si>
  <si>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</si>
  <si>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</si>
  <si>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</si>
  <si>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</si>
  <si>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</si>
  <si>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</si>
  <si>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</si>
  <si>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</si>
  <si>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</si>
  <si>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</si>
  <si>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</si>
  <si>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</si>
  <si>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</si>
  <si>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</si>
  <si>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</si>
  <si>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</si>
  <si>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</si>
  <si>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</si>
  <si>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</si>
  <si>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</si>
  <si>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</si>
  <si>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</si>
  <si>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</si>
  <si>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</si>
  <si>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</si>
  <si>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</si>
  <si>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</si>
  <si>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</si>
  <si>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</si>
  <si>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</si>
  <si>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</si>
  <si>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</si>
  <si>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</si>
  <si>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</si>
  <si>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</si>
  <si>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</si>
  <si>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</si>
  <si>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</si>
  <si>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</si>
  <si>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</si>
  <si>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</si>
  <si>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</si>
  <si>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</si>
  <si>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</si>
  <si>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</si>
  <si>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</si>
  <si>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</si>
  <si>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</si>
  <si>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</si>
  <si>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</si>
  <si>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</si>
  <si>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</si>
  <si>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</si>
  <si>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</si>
  <si>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</si>
  <si>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</si>
  <si>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</si>
  <si>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</si>
  <si>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</si>
  <si>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</si>
  <si>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</si>
  <si>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</si>
  <si>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</si>
  <si>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</si>
  <si>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</si>
  <si>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</si>
  <si>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</si>
  <si>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</si>
  <si>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</si>
  <si>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</si>
  <si>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</si>
  <si>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</si>
  <si>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</si>
  <si>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</si>
  <si>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</si>
  <si>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</si>
  <si>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</si>
  <si>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</si>
  <si>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</si>
  <si>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</si>
  <si>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</si>
  <si>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</si>
  <si>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</si>
  <si>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</si>
  <si>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</si>
  <si>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</si>
  <si>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</si>
  <si>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</si>
  <si>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</si>
  <si>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</si>
  <si>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</si>
  <si>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</si>
  <si>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</si>
  <si>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</si>
  <si>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</si>
  <si>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</si>
  <si>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</si>
  <si>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</si>
  <si>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</si>
  <si>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</si>
  <si>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</si>
  <si>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</si>
  <si>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</si>
  <si>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</si>
  <si>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</si>
  <si>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</si>
  <si>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</si>
  <si>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</si>
  <si>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</si>
  <si>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</si>
  <si>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</si>
  <si>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</si>
  <si>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</si>
  <si>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</si>
  <si>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</si>
  <si>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</si>
  <si>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</si>
  <si>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</si>
  <si>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</si>
  <si>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</si>
  <si>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</si>
  <si>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</si>
  <si>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</si>
  <si>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</si>
  <si>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</si>
  <si>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</si>
  <si>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</si>
  <si>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</si>
  <si>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</si>
  <si>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</si>
  <si>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</si>
  <si>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</si>
  <si>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</si>
  <si>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</si>
  <si>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</si>
  <si>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</si>
  <si>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</si>
  <si>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</si>
  <si>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</si>
  <si>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</si>
  <si>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</si>
  <si>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</si>
  <si>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</si>
  <si>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</si>
  <si>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</si>
  <si>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</si>
  <si>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</si>
  <si>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</si>
  <si>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</si>
  <si>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</si>
  <si>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</si>
  <si>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</si>
  <si>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</si>
  <si>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</si>
  <si>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</si>
  <si>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</si>
  <si>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</si>
  <si>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</si>
  <si>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</si>
  <si>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</si>
  <si>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</si>
  <si>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</si>
  <si>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</si>
  <si>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</si>
  <si>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</si>
  <si>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</si>
  <si>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</si>
  <si>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</si>
  <si>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</si>
  <si>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</si>
  <si>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</si>
  <si>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</si>
  <si>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</si>
  <si>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</si>
  <si>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</si>
  <si>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</si>
  <si>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</si>
  <si>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</si>
  <si>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</si>
  <si>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</si>
  <si>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</si>
  <si>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</si>
  <si>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</si>
  <si>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</si>
  <si>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</si>
  <si>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</si>
  <si>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</si>
  <si>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</si>
  <si>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</si>
  <si>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</si>
  <si>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</si>
  <si>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</si>
  <si>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</si>
  <si>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</si>
  <si>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</si>
  <si>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</si>
  <si>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</si>
  <si>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</si>
  <si>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</si>
  <si>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</si>
  <si>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</si>
  <si>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</si>
  <si>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</si>
  <si>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</si>
  <si>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</si>
  <si>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</si>
  <si>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</si>
  <si>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</si>
  <si>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</si>
  <si>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</si>
  <si>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</si>
  <si>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</si>
  <si>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</si>
  <si>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</si>
  <si>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</si>
  <si>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</si>
  <si>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</si>
  <si>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</si>
  <si>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</si>
  <si>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</si>
  <si>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</si>
  <si>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</si>
  <si>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</si>
  <si>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</si>
  <si>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</si>
  <si>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</si>
  <si>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</si>
  <si>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</si>
  <si>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</si>
  <si>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</si>
  <si>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</si>
  <si>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</si>
  <si>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</si>
  <si>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</si>
  <si>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</si>
  <si>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</si>
  <si>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</si>
  <si>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</si>
  <si>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</si>
  <si>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</si>
  <si>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</si>
  <si>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</si>
  <si>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</si>
  <si>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</si>
  <si>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</si>
  <si>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</si>
  <si>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</si>
  <si>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</si>
  <si>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</si>
  <si>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</si>
  <si>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</si>
  <si>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</si>
  <si>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</si>
  <si>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</si>
  <si>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</si>
  <si>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</si>
  <si>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</si>
  <si>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</si>
  <si>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</si>
  <si>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</si>
  <si>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</si>
  <si>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</si>
  <si>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</si>
  <si>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</si>
  <si>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</si>
  <si>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</si>
  <si>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</si>
  <si>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</si>
  <si>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</si>
  <si>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</si>
  <si>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</si>
  <si>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</si>
  <si>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</si>
  <si>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</si>
  <si>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</si>
  <si>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</si>
  <si>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</si>
  <si>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</si>
  <si>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</si>
  <si>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</si>
  <si>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</si>
  <si>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</si>
  <si>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</si>
  <si>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</si>
  <si>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</si>
  <si>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</si>
  <si>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</si>
  <si>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</si>
  <si>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</si>
  <si>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</si>
  <si>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</si>
  <si>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</si>
  <si>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</si>
  <si>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</si>
  <si>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</si>
  <si>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</si>
  <si>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</si>
  <si>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</si>
  <si>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</si>
  <si>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</si>
  <si>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</si>
  <si>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</si>
  <si>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</si>
  <si>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</si>
  <si>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</si>
  <si>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</si>
  <si>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</si>
  <si>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</si>
  <si>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</si>
  <si>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</si>
  <si>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</si>
  <si>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</si>
  <si>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</si>
  <si>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</si>
  <si>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</si>
  <si>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</si>
  <si>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</si>
  <si>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</si>
  <si>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</si>
  <si>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</si>
  <si>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</si>
  <si>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</si>
  <si>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</si>
  <si>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</si>
  <si>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</si>
  <si>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</si>
  <si>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</si>
  <si>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</si>
  <si>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</si>
  <si>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</si>
  <si>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</si>
  <si>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</si>
  <si>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</si>
  <si>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</si>
  <si>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</si>
  <si>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</si>
  <si>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</si>
  <si>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</si>
  <si>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</si>
  <si>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</si>
  <si>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</si>
  <si>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</si>
  <si>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</si>
  <si>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</si>
  <si>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</si>
  <si>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</si>
  <si>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</si>
  <si>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</si>
  <si>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</si>
  <si>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</si>
  <si>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</si>
  <si>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</si>
  <si>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</si>
  <si>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</si>
  <si>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</si>
  <si>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</si>
  <si>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</si>
  <si>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</si>
  <si>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</si>
  <si>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</si>
  <si>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</si>
  <si>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</si>
  <si>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</si>
  <si>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</si>
  <si>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</si>
  <si>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</si>
  <si>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</si>
  <si>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</si>
  <si>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</si>
  <si>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</si>
  <si>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</si>
  <si>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</si>
  <si>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</si>
  <si>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</si>
  <si>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</si>
  <si>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</si>
  <si>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</si>
  <si>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</si>
  <si>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</si>
  <si>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</si>
  <si>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</si>
  <si>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</si>
  <si>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</si>
  <si>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</si>
  <si>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</si>
  <si>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</si>
  <si>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</si>
  <si>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</si>
  <si>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</si>
  <si>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</si>
  <si>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</si>
  <si>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</si>
  <si>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</si>
  <si>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</si>
  <si>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</si>
  <si>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</si>
  <si>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</si>
  <si>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</si>
  <si>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</si>
  <si>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</si>
  <si>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</si>
  <si>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</si>
  <si>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</si>
  <si>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</si>
  <si>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</si>
  <si>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</si>
  <si>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</si>
  <si>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</si>
  <si>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</si>
  <si>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</si>
  <si>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</si>
  <si>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</si>
  <si>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</si>
  <si>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</si>
  <si>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</si>
  <si>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</si>
  <si>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</si>
  <si>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</si>
  <si>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</si>
  <si>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</si>
  <si>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</si>
  <si>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</si>
  <si>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</si>
  <si>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</si>
  <si>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</si>
  <si>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</si>
  <si>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</si>
  <si>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</si>
  <si>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</si>
  <si>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</si>
  <si>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</si>
  <si>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</si>
  <si>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</si>
  <si>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</si>
  <si>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</si>
  <si>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</si>
  <si>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</si>
  <si>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</si>
  <si>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</si>
  <si>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</si>
  <si>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</si>
  <si>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</si>
  <si>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</si>
  <si>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</si>
  <si>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</si>
  <si>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</si>
  <si>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</si>
  <si>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</si>
  <si>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</si>
  <si>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</si>
  <si>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</si>
  <si>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</si>
  <si>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</si>
  <si>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</si>
  <si>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</si>
  <si>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</si>
  <si>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</si>
  <si>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</si>
  <si>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</si>
  <si>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</si>
  <si>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</si>
  <si>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</si>
  <si>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</si>
  <si>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</si>
  <si>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</si>
  <si>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</si>
  <si>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</si>
  <si>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</si>
  <si>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</si>
  <si>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</si>
  <si>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</si>
  <si>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</si>
  <si>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</si>
  <si>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</si>
  <si>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</si>
  <si>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</si>
  <si>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</si>
  <si>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</si>
  <si>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</si>
  <si>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</si>
  <si>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</si>
  <si>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</si>
  <si>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</si>
  <si>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</si>
  <si>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</si>
  <si>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</si>
  <si>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</si>
  <si>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</si>
  <si>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</si>
  <si>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</si>
  <si>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</si>
  <si>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</si>
  <si>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</si>
  <si>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</si>
  <si>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</si>
  <si>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</si>
  <si>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</si>
  <si>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</si>
  <si>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</si>
  <si>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</si>
  <si>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</si>
  <si>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</si>
  <si>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</si>
  <si>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</si>
  <si>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</si>
  <si>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</si>
  <si>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</si>
  <si>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</si>
  <si>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</si>
  <si>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</si>
  <si>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</si>
  <si>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</si>
  <si>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</si>
  <si>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</si>
  <si>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</si>
  <si>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</si>
  <si>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</si>
  <si>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</si>
  <si>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</si>
  <si>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</si>
  <si>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</si>
  <si>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</si>
  <si>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</si>
  <si>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</si>
  <si>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</si>
  <si>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</si>
  <si>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</si>
  <si>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</si>
  <si>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</si>
  <si>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</si>
  <si>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</si>
  <si>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</si>
  <si>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</si>
  <si>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</si>
  <si>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</si>
  <si>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</si>
  <si>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</si>
  <si>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</si>
  <si>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</si>
  <si>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</si>
  <si>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</si>
  <si>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</si>
  <si>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</si>
  <si>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</si>
  <si>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</si>
  <si>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</si>
  <si>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</si>
  <si>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</si>
  <si>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</si>
  <si>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</si>
  <si>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</si>
  <si>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</si>
  <si>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</si>
  <si>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</si>
  <si>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</si>
  <si>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</si>
  <si>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</si>
  <si>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</si>
  <si>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</si>
  <si>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</si>
  <si>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</si>
  <si>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</si>
  <si>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</si>
  <si>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</si>
  <si>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</si>
  <si>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</si>
  <si>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</si>
  <si>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</si>
  <si>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</si>
  <si>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</si>
  <si>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</si>
  <si>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</si>
  <si>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</si>
  <si>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</si>
  <si>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</si>
  <si>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</si>
  <si>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</si>
  <si>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</si>
  <si>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</si>
  <si>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</si>
  <si>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</si>
  <si>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</si>
  <si>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</si>
  <si>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</si>
  <si>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</si>
  <si>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</si>
  <si>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</si>
  <si>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</si>
  <si>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</si>
  <si>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</si>
  <si>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</si>
  <si>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</si>
  <si>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</si>
  <si>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</si>
  <si>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</si>
  <si>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</si>
  <si>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</si>
  <si>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</si>
  <si>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</si>
  <si>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</si>
  <si>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</si>
  <si>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</si>
  <si>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</si>
  <si>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</si>
  <si>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</si>
  <si>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</si>
  <si>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</si>
  <si>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</si>
  <si>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</si>
  <si>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</si>
  <si>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</si>
  <si>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</si>
  <si>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</si>
  <si>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</si>
  <si>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</si>
  <si>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</si>
  <si>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</si>
  <si>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</si>
  <si>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</si>
  <si>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</si>
  <si>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</si>
  <si>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</si>
  <si>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</si>
  <si>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</si>
  <si>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</si>
  <si>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</si>
  <si>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</si>
  <si>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</si>
  <si>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</si>
  <si>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</si>
  <si>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</si>
  <si>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</si>
  <si>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</si>
  <si>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</si>
  <si>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</si>
  <si>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</si>
  <si>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</si>
  <si>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</si>
  <si>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</si>
  <si>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</si>
  <si>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</si>
  <si>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</si>
  <si>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</si>
  <si>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</si>
  <si>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</si>
  <si>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</si>
  <si>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</si>
  <si>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</si>
  <si>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</si>
  <si>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</si>
  <si>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</si>
  <si>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</si>
  <si>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</si>
  <si>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</si>
  <si>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</si>
  <si>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</si>
  <si>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</si>
  <si>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</si>
  <si>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</si>
  <si>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</si>
  <si>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</si>
  <si>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</si>
  <si>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</si>
  <si>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</si>
  <si>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</si>
  <si>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</si>
  <si>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</si>
  <si>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</si>
  <si>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</si>
  <si>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</si>
  <si>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</si>
  <si>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</si>
  <si>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</si>
  <si>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</si>
  <si>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</si>
  <si>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</si>
  <si>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</si>
  <si>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</si>
  <si>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</si>
  <si>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</si>
  <si>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</si>
  <si>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</si>
  <si>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</si>
  <si>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</si>
  <si>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</si>
  <si>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</si>
  <si>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</si>
  <si>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</si>
  <si>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</si>
  <si>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</si>
  <si>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</si>
  <si>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</si>
  <si>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</si>
  <si>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</si>
  <si>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</si>
  <si>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</si>
  <si>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</si>
  <si>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</si>
  <si>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</si>
  <si>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</si>
  <si>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</si>
  <si>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</si>
  <si>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</si>
  <si>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</si>
  <si>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</si>
  <si>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</si>
  <si>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</si>
  <si>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</si>
  <si>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</si>
  <si>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</si>
  <si>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</si>
  <si>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</si>
  <si>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</si>
  <si>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</si>
  <si>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</si>
  <si>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</si>
  <si>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</si>
  <si>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</si>
  <si>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</si>
  <si>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</si>
  <si>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</si>
  <si>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</si>
  <si>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</si>
  <si>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</si>
  <si>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</si>
  <si>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</si>
  <si>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</si>
  <si>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</si>
  <si>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</si>
  <si>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</si>
  <si>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</si>
  <si>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</si>
  <si>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</si>
  <si>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</si>
  <si>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</si>
  <si>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</si>
  <si>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</si>
  <si>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</si>
  <si>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</si>
  <si>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</si>
  <si>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</si>
  <si>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</si>
  <si>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</si>
  <si>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</si>
  <si>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</si>
  <si>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</si>
  <si>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</si>
  <si>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</si>
  <si>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</si>
  <si>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</si>
  <si>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</si>
  <si>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</si>
  <si>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</si>
  <si>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</si>
  <si>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</si>
  <si>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</si>
  <si>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</si>
  <si>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</si>
  <si>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</si>
  <si>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</si>
  <si>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</si>
  <si>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</si>
  <si>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</si>
  <si>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</si>
  <si>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</si>
  <si>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</si>
  <si>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</si>
  <si>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</si>
  <si>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</si>
  <si>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</si>
  <si>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</si>
  <si>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</si>
  <si>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</si>
  <si>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</si>
  <si>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</si>
  <si>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</si>
  <si>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</si>
  <si>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</si>
  <si>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</si>
  <si>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</si>
  <si>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</si>
  <si>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</si>
  <si>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</si>
  <si>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</si>
  <si>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</si>
  <si>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</si>
  <si>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</si>
  <si>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</si>
  <si>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</si>
  <si>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</si>
  <si>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</si>
  <si>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</si>
  <si>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</si>
  <si>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</si>
  <si>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</si>
  <si>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</si>
  <si>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</si>
  <si>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</si>
  <si>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</si>
  <si>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</si>
  <si>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</si>
  <si>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</si>
  <si>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</si>
  <si>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</si>
  <si>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</si>
  <si>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</si>
  <si>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</si>
  <si>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</si>
  <si>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</si>
  <si>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</si>
  <si>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</si>
  <si>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</si>
  <si>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</si>
  <si>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</si>
  <si>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</si>
  <si>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</si>
  <si>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</si>
  <si>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</si>
  <si>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</si>
  <si>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</si>
  <si>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</si>
  <si>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</si>
  <si>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</si>
  <si>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</si>
  <si>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</si>
  <si>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</si>
  <si>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</si>
  <si>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</si>
  <si>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</si>
  <si>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</si>
  <si>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</si>
  <si>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</si>
  <si>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</si>
  <si>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</si>
  <si>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</si>
  <si>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</si>
  <si>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</si>
  <si>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</si>
  <si>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</si>
  <si>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</si>
  <si>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</si>
  <si>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</si>
  <si>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</si>
  <si>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</si>
  <si>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</si>
  <si>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</si>
  <si>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</si>
  <si>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</si>
  <si>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</si>
  <si>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</si>
  <si>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</si>
  <si>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</si>
  <si>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</si>
  <si>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</si>
  <si>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</si>
  <si>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</si>
  <si>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</si>
  <si>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</si>
  <si>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</si>
  <si>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</si>
  <si>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</si>
  <si>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</si>
  <si>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</si>
  <si>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</si>
  <si>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</si>
  <si>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</si>
  <si>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</si>
  <si>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</si>
  <si>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</si>
  <si>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</si>
  <si>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</si>
  <si>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</si>
  <si>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</si>
  <si>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</si>
  <si>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</si>
  <si>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</si>
  <si>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</si>
  <si>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</si>
  <si>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</si>
  <si>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</si>
  <si>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</si>
  <si>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</si>
  <si>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</si>
  <si>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</si>
  <si>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</si>
  <si>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</si>
  <si>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</si>
  <si>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</si>
  <si>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</si>
  <si>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</si>
  <si>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</si>
  <si>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</si>
  <si>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</si>
  <si>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</si>
  <si>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</si>
  <si>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</si>
  <si>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</si>
  <si>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</si>
  <si>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</si>
  <si>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</si>
  <si>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</si>
  <si>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</si>
  <si>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</si>
  <si>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</si>
  <si>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</si>
  <si>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</si>
  <si>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</si>
  <si>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</si>
  <si>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</si>
  <si>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</si>
  <si>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</si>
  <si>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</si>
  <si>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</si>
  <si>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</si>
  <si>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</si>
  <si>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</si>
  <si>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</si>
  <si>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</si>
  <si>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</si>
  <si>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</si>
  <si>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</si>
  <si>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</si>
  <si>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</si>
  <si>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</si>
  <si>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</si>
  <si>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</si>
  <si>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</si>
  <si>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</si>
  <si>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</si>
  <si>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</si>
  <si>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</si>
  <si>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</si>
  <si>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</si>
  <si>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</si>
  <si>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</si>
  <si>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</si>
  <si>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</si>
  <si>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</si>
  <si>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</si>
  <si>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</si>
  <si>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</si>
  <si>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</si>
  <si>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</si>
  <si>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</si>
  <si>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</si>
  <si>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</si>
  <si>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</si>
  <si>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</si>
  <si>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</si>
  <si>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</si>
  <si>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</si>
  <si>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</si>
  <si>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</si>
  <si>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</si>
  <si>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</si>
  <si>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</si>
  <si>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</si>
  <si>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</si>
  <si>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</si>
  <si>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</si>
  <si>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</si>
  <si>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</si>
  <si>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</si>
  <si>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</si>
  <si>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</si>
  <si>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</si>
  <si>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</si>
  <si>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</si>
  <si>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</si>
  <si>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</si>
  <si>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</si>
  <si>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</si>
  <si>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</si>
  <si>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</si>
  <si>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</si>
  <si>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</si>
  <si>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</si>
  <si>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</si>
  <si>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</si>
  <si>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</si>
  <si>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</si>
  <si>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</si>
  <si>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</si>
  <si>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</si>
  <si>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</si>
  <si>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</si>
  <si>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</si>
  <si>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</si>
  <si>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</si>
  <si>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</si>
  <si>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</si>
  <si>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</si>
  <si>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</si>
  <si>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</si>
  <si>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</si>
  <si>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</si>
  <si>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</si>
  <si>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</si>
  <si>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</si>
  <si>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</si>
  <si>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</si>
  <si>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</si>
  <si>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</si>
  <si>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</si>
  <si>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</si>
  <si>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</si>
  <si>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</si>
  <si>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</si>
  <si>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</si>
  <si>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</si>
  <si>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</si>
  <si>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</si>
  <si>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</si>
  <si>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</si>
  <si>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</si>
  <si>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</si>
  <si>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</si>
  <si>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</si>
  <si>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</si>
  <si>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</si>
  <si>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</si>
  <si>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</si>
  <si>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</si>
  <si>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</si>
  <si>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</si>
  <si>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</si>
  <si>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</si>
  <si>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</si>
  <si>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</si>
  <si>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</si>
  <si>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</si>
  <si>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</si>
  <si>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</si>
  <si>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</si>
  <si>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</si>
  <si>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</si>
  <si>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</si>
  <si>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</si>
  <si>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</si>
  <si>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</si>
  <si>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</si>
  <si>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</si>
  <si>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</si>
  <si>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</si>
  <si>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</si>
  <si>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</si>
  <si>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</si>
  <si>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</si>
  <si>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</si>
  <si>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</si>
  <si>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</si>
  <si>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</si>
  <si>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</si>
  <si>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</si>
  <si>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</si>
  <si>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</si>
  <si>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</si>
  <si>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</si>
  <si>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</si>
  <si>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</si>
  <si>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</si>
  <si>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</si>
  <si>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</si>
  <si>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</si>
  <si>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</si>
  <si>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</si>
  <si>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</si>
  <si>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</si>
  <si>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</si>
  <si>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</si>
  <si>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</si>
  <si>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</si>
  <si>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</si>
  <si>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</si>
  <si>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</si>
  <si>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</si>
  <si>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</si>
  <si>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</si>
  <si>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</si>
  <si>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</si>
  <si>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</si>
  <si>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</si>
  <si>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</si>
  <si>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</si>
  <si>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</si>
  <si>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</si>
  <si>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</si>
  <si>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</si>
  <si>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</si>
  <si>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</si>
  <si>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</si>
  <si>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</si>
  <si>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</si>
  <si>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</si>
  <si>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</si>
  <si>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</si>
  <si>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</si>
  <si>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</si>
  <si>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</si>
  <si>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</si>
  <si>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</si>
  <si>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</si>
  <si>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</si>
  <si>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</si>
  <si>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</si>
  <si>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</si>
  <si>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</si>
  <si>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</si>
  <si>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</si>
  <si>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</si>
  <si>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</si>
  <si>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</si>
  <si>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</si>
  <si>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</si>
  <si>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</si>
  <si>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</si>
  <si>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</si>
  <si>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</si>
  <si>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</si>
  <si>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</si>
  <si>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</si>
  <si>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</si>
  <si>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</si>
  <si>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</si>
  <si>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</si>
  <si>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</si>
  <si>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</si>
  <si>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</si>
  <si>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</si>
  <si>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</si>
  <si>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</si>
  <si>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</si>
  <si>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</si>
  <si>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</si>
  <si>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</si>
  <si>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</si>
  <si>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</si>
  <si>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</si>
  <si>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</si>
  <si>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</si>
  <si>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</si>
  <si>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</si>
  <si>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</si>
  <si>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</si>
  <si>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</si>
  <si>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</si>
  <si>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</si>
  <si>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</si>
  <si>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</si>
  <si>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</si>
  <si>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</si>
  <si>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</si>
  <si>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</si>
  <si>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</si>
  <si>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</si>
  <si>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</si>
  <si>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</si>
  <si>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</si>
  <si>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</si>
  <si>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</si>
  <si>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</si>
  <si>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</si>
  <si>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</si>
  <si>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</si>
  <si>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</si>
  <si>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</si>
  <si>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</si>
  <si>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</si>
  <si>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</si>
  <si>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</si>
  <si>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</si>
  <si>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</si>
  <si>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</si>
  <si>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</si>
  <si>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</si>
  <si>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</si>
  <si>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</si>
  <si>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</si>
  <si>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</si>
  <si>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</si>
  <si>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</si>
  <si>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</si>
  <si>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</si>
  <si>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</si>
  <si>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</si>
  <si>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</si>
  <si>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</si>
  <si>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</si>
  <si>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</si>
  <si>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</si>
  <si>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</si>
  <si>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</si>
  <si>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</si>
  <si>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</si>
  <si>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</si>
  <si>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</si>
  <si>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</si>
  <si>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</si>
  <si>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</si>
  <si>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</si>
  <si>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</si>
  <si>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</si>
  <si>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</si>
  <si>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</si>
  <si>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</si>
  <si>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</si>
  <si>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</si>
  <si>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</si>
  <si>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</si>
  <si>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</si>
  <si>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</si>
  <si>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</si>
  <si>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</si>
  <si>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</si>
  <si>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</si>
  <si>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</si>
  <si>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</si>
  <si>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</si>
  <si>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</si>
  <si>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</si>
  <si>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</si>
  <si>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</si>
  <si>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</si>
  <si>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</si>
  <si>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</si>
  <si>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</si>
  <si>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</si>
  <si>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</si>
  <si>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</si>
  <si>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</si>
  <si>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</si>
  <si>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</si>
  <si>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</si>
  <si>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</si>
  <si>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</si>
  <si>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</si>
  <si>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</si>
  <si>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</si>
  <si>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</si>
  <si>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</si>
  <si>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</si>
  <si>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</si>
  <si>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</si>
  <si>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</si>
  <si>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</si>
  <si>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</si>
  <si>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</si>
  <si>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</si>
  <si>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</si>
  <si>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</si>
  <si>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</si>
  <si>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</si>
  <si>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</si>
  <si>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</si>
  <si>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</si>
  <si>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</si>
  <si>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</si>
  <si>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</si>
  <si>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</si>
  <si>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</si>
  <si>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</si>
  <si>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</si>
  <si>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</si>
  <si>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</si>
  <si>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</si>
  <si>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</si>
  <si>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</si>
  <si>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</si>
  <si>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</si>
  <si>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</si>
  <si>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</si>
  <si>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</si>
  <si>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</si>
  <si>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</si>
  <si>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</si>
  <si>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</si>
  <si>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</si>
  <si>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</si>
  <si>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</si>
  <si>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</si>
  <si>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</si>
  <si>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</si>
  <si>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</si>
  <si>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</si>
  <si>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</si>
  <si>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</si>
  <si>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</si>
  <si>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</si>
  <si>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</si>
  <si>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</si>
  <si>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</si>
  <si>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</si>
  <si>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</si>
  <si>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</si>
  <si>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</si>
  <si>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</si>
  <si>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</si>
  <si>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</si>
  <si>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</si>
  <si>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</si>
  <si>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</si>
  <si>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</si>
  <si>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</si>
  <si>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</si>
  <si>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</si>
  <si>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</si>
  <si>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</si>
  <si>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</si>
  <si>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</si>
  <si>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</si>
  <si>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</si>
  <si>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</si>
  <si>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</si>
  <si>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</si>
  <si>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</si>
  <si>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</si>
  <si>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</si>
  <si>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</si>
  <si>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</si>
  <si>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</si>
  <si>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</si>
  <si>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</si>
  <si>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</si>
  <si>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</si>
  <si>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</si>
  <si>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</si>
  <si>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</si>
  <si>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</si>
  <si>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</si>
  <si>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</si>
  <si>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</si>
  <si>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</si>
  <si>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</si>
  <si>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</si>
  <si>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</si>
  <si>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</si>
  <si>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</si>
  <si>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</si>
  <si>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</si>
  <si>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</si>
  <si>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</si>
  <si>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</si>
  <si>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</si>
  <si>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</si>
  <si>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</si>
  <si>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</si>
  <si>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</si>
  <si>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</si>
  <si>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</si>
  <si>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</si>
  <si>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</si>
  <si>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</si>
  <si>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</si>
  <si>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</si>
  <si>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</si>
  <si>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</si>
  <si>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</si>
  <si>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</si>
  <si>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</si>
  <si>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</si>
  <si>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</si>
  <si>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</si>
  <si>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</si>
  <si>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</si>
  <si>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</si>
  <si>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</si>
  <si>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</si>
  <si>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</si>
  <si>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</si>
  <si>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</si>
  <si>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</si>
  <si>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</si>
  <si>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</si>
  <si>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</si>
  <si>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</si>
  <si>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</si>
  <si>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</si>
  <si>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</si>
  <si>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</si>
  <si>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</si>
  <si>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</si>
  <si>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</si>
  <si>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</si>
  <si>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</si>
  <si>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</si>
  <si>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</si>
  <si>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</si>
  <si>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</si>
  <si>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</si>
  <si>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</si>
  <si>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</si>
  <si>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</si>
  <si>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</si>
  <si>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</si>
  <si>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</si>
  <si>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</si>
  <si>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</si>
  <si>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</si>
  <si>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</si>
  <si>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</si>
  <si>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</si>
  <si>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</si>
  <si>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</si>
  <si>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</si>
  <si>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</si>
  <si>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</si>
  <si>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</si>
  <si>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</si>
  <si>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</si>
  <si>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</si>
  <si>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</si>
  <si>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</si>
  <si>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</si>
  <si>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</si>
  <si>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</si>
  <si>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</si>
  <si>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</si>
  <si>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</si>
  <si>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</si>
  <si>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</si>
  <si>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</si>
  <si>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</si>
  <si>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</si>
  <si>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</si>
  <si>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</si>
  <si>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</si>
  <si>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</si>
  <si>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</si>
  <si>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</si>
  <si>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</si>
  <si>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</si>
  <si>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</si>
  <si>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</si>
  <si>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</si>
  <si>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</si>
  <si>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</si>
  <si>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</si>
  <si>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</si>
  <si>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</si>
  <si>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</si>
  <si>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</si>
  <si>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</si>
  <si>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</si>
  <si>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</si>
  <si>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</si>
  <si>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</si>
  <si>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</si>
  <si>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</si>
  <si>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</si>
  <si>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</si>
  <si>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</si>
  <si>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</si>
  <si>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</si>
  <si>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</si>
  <si>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</si>
  <si>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</si>
  <si>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</si>
  <si>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</si>
  <si>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</si>
  <si>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</si>
  <si>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</si>
  <si>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</si>
  <si>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</si>
  <si>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</si>
  <si>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</si>
  <si>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</si>
  <si>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</si>
  <si>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</si>
  <si>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</si>
  <si>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</si>
  <si>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</si>
  <si>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</si>
  <si>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</si>
  <si>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</si>
  <si>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</si>
  <si>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</si>
  <si>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</si>
  <si>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</si>
  <si>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</si>
  <si>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</si>
  <si>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</si>
  <si>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</si>
  <si>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</si>
  <si>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</si>
  <si>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</si>
  <si>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</si>
  <si>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</si>
  <si>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</si>
  <si>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</si>
  <si>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</si>
  <si>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</si>
  <si>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</si>
  <si>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</si>
  <si>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</si>
  <si>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</si>
  <si>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</si>
  <si>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</si>
  <si>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</si>
  <si>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</si>
  <si>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</si>
  <si>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</si>
  <si>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</si>
  <si>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</si>
  <si>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</si>
  <si>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</si>
  <si>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</si>
  <si>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</si>
  <si>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</si>
  <si>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</si>
  <si>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</si>
  <si>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</si>
  <si>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</si>
  <si>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</si>
  <si>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</si>
  <si>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</si>
  <si>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</si>
  <si>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</si>
  <si>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</si>
  <si>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</si>
  <si>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</si>
  <si>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</si>
  <si>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</si>
  <si>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</si>
  <si>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</si>
  <si>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</si>
  <si>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</si>
  <si>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</si>
  <si>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</si>
  <si>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</si>
  <si>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</si>
  <si>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</si>
  <si>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</si>
  <si>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</si>
  <si>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</si>
  <si>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</si>
  <si>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</si>
  <si>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</si>
  <si>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</si>
  <si>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</si>
  <si>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</si>
  <si>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</si>
  <si>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</si>
  <si>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</si>
  <si>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</si>
  <si>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</si>
  <si>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</si>
  <si>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</si>
  <si>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</si>
  <si>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</si>
  <si>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</si>
  <si>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</si>
  <si>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</si>
  <si>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</si>
  <si>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</si>
  <si>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</si>
  <si>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</si>
  <si>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</si>
  <si>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</si>
  <si>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</si>
  <si>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</si>
  <si>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</si>
  <si>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</si>
  <si>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</si>
  <si>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</si>
  <si>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</si>
  <si>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</si>
  <si>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</si>
  <si>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</si>
  <si>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</si>
  <si>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</si>
  <si>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</si>
  <si>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</si>
  <si>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</si>
  <si>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</si>
  <si>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</si>
  <si>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</si>
  <si>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</si>
  <si>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</si>
  <si>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</si>
  <si>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</si>
  <si>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</si>
  <si>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</si>
  <si>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</si>
  <si>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</si>
  <si>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</si>
  <si>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</si>
  <si>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</si>
  <si>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</si>
  <si>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</si>
  <si>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</si>
  <si>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</si>
  <si>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</si>
  <si>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</si>
  <si>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</si>
  <si>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</si>
  <si>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</si>
  <si>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</si>
  <si>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</si>
  <si>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</si>
  <si>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</si>
  <si>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</si>
  <si>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</si>
  <si>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</si>
  <si>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</si>
  <si>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</si>
  <si>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</si>
  <si>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</si>
  <si>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</si>
  <si>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</si>
  <si>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</si>
  <si>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</si>
  <si>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</si>
  <si>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</si>
  <si>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</si>
  <si>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</si>
  <si>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</si>
  <si>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</si>
  <si>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</si>
  <si>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</si>
  <si>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</si>
  <si>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</si>
  <si>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</si>
  <si>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</si>
  <si>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</si>
  <si>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</si>
  <si>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</si>
  <si>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</si>
  <si>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</si>
  <si>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</si>
  <si>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</si>
  <si>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</si>
  <si>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</si>
  <si>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</si>
  <si>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</si>
  <si>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</si>
  <si>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</si>
  <si>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</si>
  <si>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</si>
  <si>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</si>
  <si>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</si>
  <si>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</si>
  <si>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</si>
  <si>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</si>
  <si>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</si>
  <si>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</si>
  <si>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</si>
  <si>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</si>
  <si>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</si>
  <si>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</si>
  <si>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</si>
  <si>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</si>
  <si>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</si>
  <si>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</si>
  <si>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</si>
  <si>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</si>
  <si>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</si>
  <si>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</si>
  <si>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</si>
  <si>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</si>
  <si>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</si>
  <si>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</si>
  <si>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</si>
  <si>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</si>
  <si>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</si>
  <si>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</si>
  <si>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</si>
  <si>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</si>
  <si>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</si>
  <si>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</si>
  <si>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</si>
  <si>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</si>
  <si>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</si>
  <si>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</si>
  <si>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</si>
  <si>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</si>
  <si>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</si>
  <si>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</si>
  <si>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</si>
  <si>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</si>
  <si>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</si>
  <si>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</si>
  <si>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</si>
  <si>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</si>
  <si>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</si>
  <si>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</si>
  <si>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</si>
  <si>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</si>
  <si>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</si>
  <si>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</si>
  <si>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</si>
  <si>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</si>
  <si>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</si>
  <si>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</si>
  <si>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</si>
  <si>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</si>
  <si>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</si>
  <si>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</si>
  <si>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</si>
  <si>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</si>
  <si>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</si>
  <si>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</si>
  <si>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</si>
  <si>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</si>
  <si>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</si>
  <si>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</si>
  <si>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</si>
  <si>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</si>
  <si>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</si>
  <si>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</si>
  <si>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</si>
  <si>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</si>
  <si>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</si>
  <si>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</si>
  <si>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</si>
  <si>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</si>
  <si>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</si>
  <si>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</si>
  <si>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</si>
  <si>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</si>
  <si>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</si>
  <si>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</si>
  <si>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</si>
  <si>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</si>
  <si>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</si>
  <si>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</si>
  <si>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</si>
  <si>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</si>
  <si>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</si>
  <si>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</si>
  <si>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</si>
  <si>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</si>
  <si>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</si>
  <si>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</si>
  <si>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</si>
  <si>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</si>
  <si>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</si>
  <si>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</si>
  <si>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</si>
  <si>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</si>
  <si>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</si>
  <si>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</si>
  <si>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</si>
  <si>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</si>
  <si>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</si>
  <si>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</si>
  <si>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</si>
  <si>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</si>
  <si>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</si>
  <si>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</si>
  <si>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</si>
  <si>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</si>
  <si>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</si>
  <si>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</si>
  <si>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</si>
  <si>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</si>
  <si>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</si>
  <si>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</si>
  <si>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</si>
  <si>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</si>
  <si>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</si>
  <si>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</si>
  <si>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</si>
  <si>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</si>
  <si>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</si>
  <si>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</si>
  <si>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</si>
  <si>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</si>
  <si>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</si>
  <si>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</si>
  <si>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</si>
  <si>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</si>
  <si>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</si>
  <si>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</si>
  <si>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</si>
  <si>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</si>
  <si>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</si>
  <si>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</si>
  <si>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</si>
  <si>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</si>
  <si>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</si>
  <si>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</si>
  <si>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</si>
  <si>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</si>
  <si>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</si>
  <si>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</si>
  <si>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</si>
  <si>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</si>
  <si>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</si>
  <si>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</si>
  <si>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</si>
  <si>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</si>
  <si>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</si>
  <si>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</si>
  <si>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</si>
  <si>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</si>
  <si>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</si>
  <si>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</si>
  <si>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</si>
  <si>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</si>
  <si>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</si>
  <si>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</si>
  <si>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</si>
  <si>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</si>
  <si>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</si>
  <si>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</si>
  <si>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</si>
  <si>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</si>
  <si>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</si>
  <si>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</si>
  <si>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</si>
  <si>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</si>
  <si>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</si>
  <si>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</si>
  <si>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</si>
  <si>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</si>
  <si>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</si>
  <si>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</si>
  <si>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</si>
  <si>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</si>
  <si>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</si>
  <si>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</si>
  <si>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</si>
  <si>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</si>
  <si>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</si>
  <si>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</si>
  <si>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</si>
  <si>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</si>
  <si>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</si>
  <si>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</si>
  <si>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</si>
  <si>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</si>
  <si>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</si>
  <si>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</si>
  <si>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</si>
  <si>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</si>
  <si>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</si>
  <si>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</si>
  <si>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</si>
  <si>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</si>
  <si>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</si>
  <si>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</si>
  <si>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</si>
  <si>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</si>
  <si>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</si>
  <si>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</si>
  <si>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</si>
  <si>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</si>
  <si>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</si>
  <si>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</si>
  <si>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</si>
  <si>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</si>
  <si>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</si>
  <si>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</si>
  <si>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</si>
  <si>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</si>
  <si>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</si>
  <si>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</si>
  <si>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</si>
  <si>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</si>
  <si>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</si>
  <si>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</si>
  <si>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</si>
  <si>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</si>
  <si>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</si>
  <si>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</si>
  <si>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</si>
  <si>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</si>
  <si>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</si>
  <si>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</si>
  <si>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</si>
  <si>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</si>
  <si>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</si>
  <si>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</si>
  <si>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</si>
  <si>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</si>
  <si>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</si>
  <si>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</si>
  <si>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</si>
  <si>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</si>
  <si>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</si>
  <si>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</si>
  <si>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</si>
  <si>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</si>
  <si>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</si>
  <si>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</si>
  <si>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</si>
  <si>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</si>
  <si>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</si>
  <si>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</si>
  <si>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</si>
  <si>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</si>
  <si>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</si>
  <si>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</si>
  <si>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</si>
  <si>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</si>
  <si>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</si>
  <si>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</si>
  <si>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</si>
  <si>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</si>
  <si>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</si>
  <si>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</si>
  <si>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</si>
  <si>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</si>
  <si>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</si>
  <si>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</si>
  <si>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</si>
  <si>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</si>
  <si>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</si>
  <si>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</si>
  <si>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</si>
  <si>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</si>
  <si>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</si>
  <si>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</si>
  <si>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</si>
  <si>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</si>
  <si>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</si>
  <si>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</si>
  <si>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</si>
  <si>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</si>
  <si>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</si>
  <si>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</si>
  <si>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</si>
  <si>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</si>
  <si>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</si>
  <si>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</si>
  <si>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</si>
  <si>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</si>
  <si>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</si>
  <si>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</si>
  <si>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</si>
  <si>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</si>
  <si>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</si>
  <si>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</si>
  <si>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</si>
  <si>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</si>
  <si>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</si>
  <si>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</si>
  <si>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</si>
  <si>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</si>
  <si>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</si>
  <si>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</si>
  <si>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</si>
  <si>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</si>
  <si>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</si>
  <si>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</si>
  <si>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</si>
  <si>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</si>
  <si>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</si>
  <si>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</si>
  <si>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</si>
  <si>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</si>
  <si>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</si>
  <si>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</si>
  <si>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</si>
  <si>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</si>
  <si>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</si>
  <si>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</si>
  <si>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</si>
  <si>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</si>
  <si>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</si>
  <si>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</si>
  <si>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</si>
  <si>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</si>
  <si>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</si>
  <si>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</si>
  <si>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</si>
  <si>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</si>
  <si>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</si>
  <si>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</si>
  <si>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</si>
  <si>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</si>
  <si>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</si>
  <si>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</si>
  <si>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</si>
  <si>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</si>
  <si>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</si>
  <si>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</si>
  <si>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</si>
  <si>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</si>
  <si>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</si>
  <si>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</si>
  <si>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</si>
  <si>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</si>
  <si>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</si>
  <si>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</si>
  <si>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</si>
  <si>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</si>
  <si>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</si>
  <si>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</si>
  <si>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</si>
  <si>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</si>
  <si>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</si>
  <si>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</si>
  <si>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</si>
  <si>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</si>
  <si>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</si>
  <si>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</si>
  <si>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</si>
  <si>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</si>
  <si>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</si>
  <si>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</si>
  <si>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</si>
  <si>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</si>
  <si>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</si>
  <si>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</si>
  <si>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</si>
  <si>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</si>
  <si>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</si>
  <si>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</si>
  <si>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</si>
  <si>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</si>
  <si>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</si>
  <si>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</si>
  <si>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</si>
  <si>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</si>
  <si>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</si>
  <si>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</si>
  <si>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</si>
  <si>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</si>
  <si>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</si>
  <si>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</si>
  <si>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</si>
  <si>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</si>
  <si>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</si>
  <si>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</si>
  <si>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</si>
  <si>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</si>
  <si>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</si>
  <si>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</si>
  <si>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</si>
  <si>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</si>
  <si>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</si>
  <si>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</si>
  <si>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</si>
  <si>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</si>
  <si>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</si>
  <si>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</si>
  <si>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</si>
  <si>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</si>
  <si>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</si>
  <si>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</si>
  <si>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</si>
  <si>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</si>
  <si>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</si>
  <si>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</si>
  <si>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</si>
  <si>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</si>
  <si>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</si>
  <si>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</si>
  <si>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</si>
  <si>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</si>
  <si>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</si>
  <si>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</si>
  <si>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</si>
  <si>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</si>
  <si>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</si>
  <si>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</si>
  <si>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</si>
  <si>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</si>
  <si>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</si>
  <si>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</si>
  <si>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</si>
  <si>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</si>
  <si>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</si>
  <si>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</si>
  <si>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</si>
  <si>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</si>
  <si>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</si>
  <si>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</si>
  <si>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</si>
  <si>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</si>
  <si>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</si>
  <si>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</si>
  <si>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</si>
  <si>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</si>
  <si>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</si>
  <si>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</si>
  <si>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</si>
  <si>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</si>
  <si>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</si>
  <si>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</si>
  <si>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</si>
  <si>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</si>
  <si>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</si>
  <si>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</si>
  <si>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</si>
  <si>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</si>
  <si>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</si>
  <si>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</si>
  <si>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</si>
  <si>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</si>
  <si>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</si>
  <si>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</si>
  <si>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</si>
  <si>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</si>
  <si>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</si>
  <si>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</si>
  <si>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</si>
  <si>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</si>
  <si>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</si>
  <si>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</si>
  <si>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</si>
  <si>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</si>
  <si>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</si>
  <si>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</si>
  <si>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</si>
  <si>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</si>
  <si>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</si>
  <si>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</si>
  <si>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</si>
  <si>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</si>
  <si>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</si>
  <si>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</si>
  <si>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</si>
  <si>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</si>
  <si>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</si>
  <si>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</si>
  <si>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</si>
  <si>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</si>
  <si>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</si>
  <si>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</si>
  <si>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</si>
  <si>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</si>
  <si>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</si>
  <si>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</si>
  <si>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</si>
  <si>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</si>
  <si>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</si>
  <si>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</si>
  <si>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</si>
  <si>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</si>
  <si>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</si>
  <si>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</si>
  <si>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</si>
  <si>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</si>
  <si>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</si>
  <si>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</si>
  <si>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</si>
  <si>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</si>
  <si>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</si>
  <si>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</si>
  <si>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</si>
  <si>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</si>
  <si>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</si>
  <si>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</si>
  <si>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</si>
  <si>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</si>
  <si>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</si>
  <si>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</si>
  <si>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</si>
  <si>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</si>
  <si>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</si>
  <si>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</si>
  <si>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</si>
  <si>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</si>
  <si>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</si>
  <si>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</si>
  <si>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</si>
  <si>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</si>
  <si>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</si>
  <si>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</si>
  <si>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</si>
  <si>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</si>
  <si>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</si>
  <si>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</si>
  <si>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</si>
  <si>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</si>
  <si>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</si>
  <si>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</si>
  <si>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</si>
  <si>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</si>
  <si>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</si>
  <si>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</si>
  <si>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</si>
  <si>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</si>
  <si>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</si>
  <si>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</si>
  <si>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</si>
  <si>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</si>
  <si>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</si>
  <si>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</si>
  <si>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</si>
  <si>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</si>
  <si>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</si>
  <si>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</si>
  <si>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</si>
  <si>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</si>
  <si>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</si>
  <si>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</si>
  <si>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</si>
  <si>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</si>
  <si>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</si>
  <si>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</si>
  <si>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</si>
  <si>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</si>
  <si>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</si>
  <si>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</si>
  <si>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</si>
  <si>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</si>
  <si>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</si>
  <si>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</si>
  <si>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</si>
  <si>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</si>
  <si>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</si>
  <si>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</si>
  <si>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</si>
  <si>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</si>
  <si>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</si>
  <si>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</si>
  <si>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</si>
  <si>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</si>
  <si>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</si>
  <si>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</si>
  <si>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</si>
  <si>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</si>
  <si>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</si>
  <si>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</si>
  <si>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</si>
  <si>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</si>
  <si>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</si>
  <si>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</si>
  <si>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</si>
  <si>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</si>
  <si>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</si>
  <si>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</si>
  <si>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</si>
  <si>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</si>
  <si>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</si>
  <si>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</si>
  <si>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</si>
  <si>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</si>
  <si>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</si>
  <si>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</si>
  <si>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</si>
  <si>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</si>
  <si>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</si>
  <si>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</si>
  <si>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</si>
  <si>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</si>
  <si>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</si>
  <si>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</si>
  <si>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</si>
  <si>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</si>
  <si>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</si>
  <si>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</si>
  <si>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</si>
  <si>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</si>
  <si>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</si>
  <si>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</si>
  <si>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</si>
  <si>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</si>
  <si>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</si>
  <si>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</si>
  <si>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</si>
  <si>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</si>
  <si>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</si>
  <si>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</si>
  <si>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</si>
  <si>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</si>
  <si>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</si>
  <si>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</si>
  <si>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</si>
  <si>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</si>
  <si>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</si>
  <si>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</si>
  <si>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</si>
  <si>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</si>
  <si>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</si>
  <si>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</si>
  <si>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</si>
  <si>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</si>
  <si>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</si>
  <si>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</si>
  <si>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</si>
  <si>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</si>
  <si>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</si>
  <si>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</si>
  <si>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</si>
  <si>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</si>
  <si>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</si>
  <si>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</si>
  <si>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</si>
  <si>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</si>
  <si>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</si>
  <si>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</si>
  <si>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</si>
  <si>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</si>
  <si>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</si>
  <si>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</si>
  <si>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</si>
  <si>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</si>
  <si>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</si>
  <si>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</si>
  <si>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</si>
  <si>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</si>
  <si>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</si>
  <si>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</si>
  <si>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</si>
  <si>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</si>
  <si>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</si>
  <si>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</si>
  <si>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</si>
  <si>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</si>
  <si>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</si>
  <si>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</si>
  <si>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</si>
  <si>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</si>
  <si>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</si>
  <si>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</si>
  <si>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</si>
  <si>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</si>
  <si>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</si>
  <si>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</si>
  <si>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</si>
  <si>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</si>
  <si>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</si>
  <si>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</si>
  <si>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</si>
  <si>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</si>
  <si>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</si>
  <si>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</si>
  <si>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</si>
  <si>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</si>
  <si>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</si>
  <si>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</si>
  <si>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</si>
  <si>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</si>
  <si>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</si>
  <si>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</si>
  <si>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</si>
  <si>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</si>
  <si>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</si>
  <si>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</si>
  <si>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</si>
  <si>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</si>
  <si>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</si>
  <si>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</si>
  <si>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</si>
  <si>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</si>
  <si>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</si>
  <si>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</si>
  <si>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</si>
  <si>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</si>
  <si>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</si>
  <si>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</si>
  <si>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</si>
  <si>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</si>
  <si>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</si>
  <si>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</si>
  <si>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</si>
  <si>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</si>
  <si>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</si>
  <si>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</si>
  <si>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</si>
  <si>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</si>
  <si>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</si>
  <si>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</si>
  <si>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</si>
  <si>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</si>
  <si>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</si>
  <si>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</si>
  <si>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</si>
  <si>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</si>
  <si>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</si>
  <si>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</si>
  <si>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</si>
  <si>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</si>
  <si>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</si>
  <si>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</si>
  <si>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</si>
  <si>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</si>
  <si>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</si>
  <si>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</si>
  <si>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</si>
  <si>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</si>
  <si>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</si>
  <si>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</si>
  <si>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</si>
  <si>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</si>
  <si>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</si>
  <si>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</si>
  <si>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</si>
  <si>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</si>
  <si>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</si>
  <si>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</si>
  <si>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</si>
  <si>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</si>
  <si>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</si>
  <si>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</si>
  <si>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</si>
  <si>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</si>
  <si>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</si>
  <si>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</si>
  <si>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</si>
  <si>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</si>
  <si>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</si>
  <si>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</si>
  <si>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</si>
  <si>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</si>
  <si>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</si>
  <si>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</si>
  <si>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</si>
  <si>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</si>
  <si>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</si>
  <si>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</si>
  <si>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</si>
  <si>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</si>
  <si>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</si>
  <si>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</si>
  <si>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</si>
  <si>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</si>
  <si>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</si>
  <si>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</si>
  <si>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</si>
  <si>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</si>
  <si>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</si>
  <si>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</si>
  <si>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</si>
  <si>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</si>
  <si>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</si>
  <si>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</si>
  <si>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</si>
  <si>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</si>
  <si>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</si>
  <si>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</si>
  <si>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</si>
  <si>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</si>
  <si>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</si>
  <si>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</si>
  <si>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</si>
  <si>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</si>
  <si>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</si>
  <si>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</si>
  <si>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</si>
  <si>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</si>
  <si>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</si>
  <si>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</si>
  <si>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</si>
  <si>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</si>
  <si>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</si>
  <si>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</si>
  <si>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</si>
  <si>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</si>
  <si>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</si>
  <si>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</si>
  <si>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</si>
  <si>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</si>
  <si>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</si>
  <si>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</si>
  <si>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</si>
  <si>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</si>
  <si>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</si>
  <si>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</si>
  <si>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</si>
  <si>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</si>
  <si>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</si>
  <si>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</si>
  <si>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</si>
  <si>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</si>
  <si>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</si>
  <si>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</si>
  <si>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</si>
  <si>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</si>
  <si>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</si>
  <si>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</si>
  <si>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</si>
  <si>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</si>
  <si>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</si>
  <si>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</si>
  <si>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</si>
  <si>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</si>
  <si>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</si>
  <si>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</si>
  <si>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</si>
  <si>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</si>
  <si>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</si>
  <si>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</si>
  <si>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</si>
  <si>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</si>
  <si>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</si>
  <si>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</si>
  <si>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</si>
  <si>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</si>
  <si>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</si>
  <si>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</si>
  <si>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</si>
  <si>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</si>
  <si>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</si>
  <si>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</si>
  <si>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</si>
  <si>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</si>
  <si>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</si>
  <si>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</si>
  <si>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</si>
  <si>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</si>
  <si>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</si>
  <si>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</si>
  <si>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</si>
  <si>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</si>
  <si>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</si>
  <si>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</si>
  <si>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</si>
  <si>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</si>
  <si>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</si>
  <si>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</si>
  <si>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</si>
  <si>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</si>
  <si>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</si>
  <si>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</si>
  <si>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</si>
  <si>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</si>
  <si>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</si>
  <si>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</si>
  <si>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</si>
  <si>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</si>
  <si>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</si>
  <si>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</si>
  <si>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</si>
  <si>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</si>
  <si>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</si>
  <si>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</si>
  <si>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</si>
  <si>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</si>
  <si>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</si>
  <si>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</si>
  <si>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</si>
  <si>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</si>
  <si>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</si>
  <si>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</si>
  <si>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</si>
  <si>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</si>
  <si>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</si>
  <si>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</si>
  <si>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</si>
  <si>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</si>
  <si>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</si>
  <si>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</si>
  <si>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</si>
  <si>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</si>
  <si>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</si>
  <si>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</si>
  <si>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</si>
  <si>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</si>
  <si>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</si>
  <si>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</si>
  <si>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</si>
  <si>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</si>
  <si>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</si>
  <si>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</si>
  <si>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</si>
  <si>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</si>
  <si>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</si>
  <si>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</si>
  <si>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</si>
  <si>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</si>
  <si>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</si>
  <si>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</si>
  <si>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</si>
  <si>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</si>
  <si>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</si>
  <si>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</si>
  <si>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</si>
  <si>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</si>
  <si>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</si>
  <si>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</si>
  <si>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</si>
  <si>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</si>
  <si>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</si>
  <si>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</si>
  <si>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</si>
  <si>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</si>
  <si>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</si>
  <si>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</si>
  <si>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</si>
  <si>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</si>
  <si>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</si>
  <si>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</si>
  <si>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</si>
  <si>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</si>
  <si>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</si>
  <si>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</si>
  <si>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</si>
  <si>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</si>
  <si>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</si>
  <si>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</si>
  <si>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</si>
  <si>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</si>
  <si>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</si>
  <si>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</si>
  <si>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</si>
  <si>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</si>
  <si>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</si>
  <si>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</si>
  <si>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</si>
  <si>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</si>
  <si>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</si>
  <si>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</si>
  <si>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</si>
  <si>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</si>
  <si>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</si>
  <si>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</si>
  <si>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</si>
  <si>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</si>
  <si>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</si>
  <si>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</si>
  <si>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</si>
  <si>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</si>
  <si>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</si>
  <si>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</si>
  <si>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</si>
  <si>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</si>
  <si>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</si>
  <si>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</si>
  <si>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</si>
  <si>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</si>
  <si>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</si>
  <si>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</si>
  <si>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</si>
  <si>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</si>
  <si>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</si>
  <si>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</si>
  <si>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</si>
  <si>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</si>
  <si>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</si>
  <si>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</si>
  <si>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</si>
  <si>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</si>
  <si>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</si>
  <si>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</si>
  <si>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</si>
  <si>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</si>
  <si>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</si>
  <si>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</si>
  <si>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</si>
  <si>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</si>
  <si>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</si>
  <si>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</si>
  <si>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</si>
  <si>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</si>
  <si>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</si>
  <si>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</si>
  <si>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</si>
  <si>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</si>
  <si>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</si>
  <si>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</si>
  <si>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</si>
  <si>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</si>
  <si>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</si>
  <si>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</si>
  <si>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</si>
  <si>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</si>
  <si>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</si>
  <si>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</si>
  <si>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</si>
  <si>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</si>
  <si>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</si>
  <si>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</si>
  <si>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</si>
  <si>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</si>
  <si>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</si>
  <si>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</si>
  <si>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</si>
  <si>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</si>
  <si>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</si>
  <si>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</si>
  <si>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</si>
  <si>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</si>
  <si>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</si>
  <si>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</si>
  <si>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</si>
  <si>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</si>
  <si>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</si>
  <si>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</si>
  <si>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</si>
  <si>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</si>
  <si>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</si>
  <si>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</si>
  <si>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</si>
  <si>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</si>
  <si>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</si>
  <si>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</si>
  <si>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</si>
  <si>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</si>
  <si>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</si>
  <si>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</si>
  <si>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</si>
  <si>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</si>
  <si>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</si>
  <si>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</si>
  <si>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</si>
  <si>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</si>
  <si>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</si>
  <si>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</si>
  <si>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</si>
  <si>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</si>
  <si>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</si>
  <si>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</si>
  <si>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</si>
  <si>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</si>
  <si>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</si>
  <si>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</si>
  <si>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</si>
  <si>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</si>
  <si>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</si>
  <si>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</si>
  <si>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</si>
  <si>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</si>
  <si>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</si>
  <si>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</si>
  <si>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</si>
  <si>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</si>
  <si>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</si>
  <si>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</si>
  <si>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</si>
  <si>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</si>
  <si>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</si>
  <si>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</si>
  <si>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</si>
  <si>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</si>
  <si>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</si>
  <si>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</si>
  <si>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</si>
  <si>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</si>
  <si>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</si>
  <si>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</si>
  <si>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</si>
  <si>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</si>
  <si>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</si>
  <si>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</si>
  <si>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</si>
  <si>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</si>
  <si>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</si>
  <si>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</si>
  <si>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</si>
  <si>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</si>
  <si>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</si>
  <si>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</si>
  <si>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</si>
  <si>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</si>
  <si>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</si>
  <si>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</si>
  <si>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</si>
  <si>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</si>
  <si>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</si>
  <si>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</si>
  <si>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</si>
  <si>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</si>
  <si>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</si>
  <si>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</si>
  <si>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</si>
  <si>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</si>
  <si>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</si>
  <si>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</si>
  <si>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</si>
  <si>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</si>
  <si>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</si>
  <si>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</si>
  <si>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</si>
  <si>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</si>
  <si>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</si>
  <si>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</si>
  <si>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</si>
  <si>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</si>
  <si>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</si>
  <si>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</si>
  <si>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</si>
  <si>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</si>
  <si>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</si>
  <si>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</si>
  <si>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</si>
  <si>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</si>
  <si>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</si>
  <si>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</si>
  <si>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</si>
  <si>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</si>
  <si>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</si>
  <si>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</si>
  <si>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</si>
  <si>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</si>
  <si>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</si>
  <si>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</si>
  <si>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</si>
  <si>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</si>
  <si>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</si>
  <si>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</si>
  <si>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</si>
  <si>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</si>
  <si>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</si>
  <si>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</si>
  <si>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</si>
  <si>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</si>
  <si>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</si>
  <si>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</si>
  <si>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</si>
  <si>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</si>
  <si>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</si>
  <si>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</si>
  <si>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</si>
  <si>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</si>
  <si>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</si>
  <si>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</si>
  <si>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</si>
  <si>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</si>
  <si>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</si>
  <si>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</si>
  <si>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</si>
  <si>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</si>
  <si>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</si>
  <si>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</si>
  <si>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</si>
  <si>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</si>
  <si>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</si>
  <si>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</si>
  <si>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</si>
  <si>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</si>
  <si>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</si>
  <si>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</si>
  <si>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</si>
  <si>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</si>
  <si>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</si>
  <si>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</si>
  <si>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</si>
  <si>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</si>
  <si>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</si>
  <si>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</si>
  <si>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</si>
  <si>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</si>
  <si>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</si>
  <si>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</si>
  <si>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</si>
  <si>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</si>
  <si>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</si>
  <si>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</si>
  <si>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</si>
  <si>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</si>
  <si>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</si>
  <si>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</si>
  <si>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</si>
  <si>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</si>
  <si>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</si>
  <si>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</si>
  <si>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</si>
  <si>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</si>
  <si>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</si>
  <si>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</si>
  <si>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</si>
  <si>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</si>
  <si>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</si>
  <si>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</si>
  <si>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</si>
  <si>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</si>
  <si>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</si>
  <si>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</si>
  <si>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</si>
  <si>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</si>
  <si>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</si>
  <si>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</si>
  <si>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</si>
  <si>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</si>
  <si>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</si>
  <si>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</si>
  <si>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</si>
  <si>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</si>
  <si>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</si>
  <si>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</si>
  <si>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</si>
  <si>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</si>
  <si>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</si>
  <si>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</si>
  <si>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</si>
  <si>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</si>
  <si>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</si>
  <si>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</si>
  <si>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</si>
  <si>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</si>
  <si>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</si>
  <si>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</si>
  <si>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</si>
  <si>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</si>
  <si>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</si>
  <si>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</si>
  <si>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</si>
  <si>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</si>
  <si>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</si>
  <si>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</si>
  <si>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</si>
  <si>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</si>
  <si>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</si>
  <si>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</si>
  <si>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</si>
  <si>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</si>
  <si>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</si>
  <si>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</si>
  <si>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</si>
  <si>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</si>
  <si>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</si>
  <si>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</si>
  <si>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</si>
  <si>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</si>
  <si>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</si>
  <si>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</si>
  <si>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</si>
  <si>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</si>
  <si>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</si>
  <si>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</si>
  <si>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</si>
  <si>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</si>
  <si>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</si>
  <si>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</si>
  <si>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</si>
  <si>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</si>
  <si>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</si>
  <si>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</si>
  <si>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</si>
  <si>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</si>
  <si>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</si>
  <si>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</si>
  <si>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</si>
  <si>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</si>
  <si>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</si>
  <si>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</si>
  <si>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</si>
  <si>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</si>
  <si>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</si>
  <si>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</si>
  <si>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</si>
  <si>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</si>
  <si>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</si>
  <si>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</si>
  <si>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</si>
  <si>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</si>
  <si>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</si>
  <si>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</si>
  <si>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</si>
  <si>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</si>
  <si>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</si>
  <si>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</si>
  <si>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</si>
  <si>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</si>
  <si>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</si>
  <si>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</si>
  <si>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</si>
  <si>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</si>
  <si>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</si>
  <si>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</si>
  <si>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</si>
  <si>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</si>
  <si>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</si>
  <si>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</si>
  <si>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</si>
  <si>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</si>
  <si>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</si>
  <si>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</si>
  <si>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</si>
  <si>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</si>
  <si>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</si>
  <si>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</si>
  <si>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</si>
  <si>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</si>
  <si>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</si>
  <si>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</si>
  <si>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</si>
  <si>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</si>
  <si>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</si>
  <si>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</si>
  <si>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</si>
  <si>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</si>
  <si>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</si>
  <si>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</si>
  <si>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</si>
  <si>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</si>
  <si>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</si>
  <si>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</si>
  <si>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</si>
  <si>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</si>
  <si>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</si>
  <si>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</si>
  <si>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</si>
  <si>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</si>
  <si>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</si>
  <si>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</si>
  <si>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</si>
  <si>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</si>
  <si>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</si>
  <si>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</si>
  <si>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</si>
  <si>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</si>
  <si>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</si>
  <si>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</si>
  <si>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</si>
  <si>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</si>
  <si>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</si>
  <si>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</si>
  <si>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</si>
  <si>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</si>
  <si>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</si>
  <si>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</si>
  <si>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</si>
  <si>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</si>
  <si>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</si>
  <si>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</si>
  <si>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</si>
  <si>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</si>
  <si>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</si>
  <si>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</si>
  <si>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</si>
  <si>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</si>
  <si>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</si>
  <si>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</si>
  <si>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</si>
  <si>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</si>
  <si>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</si>
  <si>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</si>
  <si>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</si>
  <si>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</si>
  <si>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</si>
  <si>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</si>
  <si>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</si>
  <si>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</si>
  <si>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</si>
  <si>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</si>
  <si>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</si>
  <si>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</si>
  <si>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</si>
  <si>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</si>
  <si>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</si>
  <si>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</si>
  <si>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</si>
  <si>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</si>
  <si>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</si>
  <si>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</si>
  <si>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</si>
  <si>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</si>
  <si>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</si>
  <si>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</si>
  <si>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</si>
  <si>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</si>
  <si>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</si>
  <si>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</si>
  <si>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</si>
  <si>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</si>
  <si>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</si>
  <si>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</si>
  <si>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</si>
  <si>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</si>
  <si>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</si>
  <si>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</si>
  <si>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</si>
  <si>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</si>
  <si>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</si>
  <si>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</si>
  <si>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</si>
  <si>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</si>
  <si>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</si>
  <si>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</si>
  <si>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</si>
  <si>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</si>
  <si>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</si>
  <si>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</si>
  <si>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</si>
  <si>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</si>
  <si>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</si>
  <si>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</si>
  <si>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</si>
  <si>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</si>
  <si>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</si>
  <si>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</si>
  <si>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</si>
  <si>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</si>
  <si>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</si>
  <si>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</si>
  <si>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</si>
  <si>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</si>
  <si>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</si>
  <si>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</si>
  <si>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</si>
  <si>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</si>
  <si>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</si>
  <si>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</si>
  <si>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</si>
  <si>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</si>
  <si>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</si>
  <si>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</si>
  <si>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</si>
  <si>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</si>
  <si>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</si>
  <si>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</si>
  <si>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</si>
  <si>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</si>
  <si>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</si>
  <si>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</si>
  <si>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</si>
  <si>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</si>
  <si>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</si>
  <si>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</si>
  <si>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</si>
  <si>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</si>
  <si>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</si>
  <si>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</si>
  <si>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</si>
  <si>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</si>
  <si>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</si>
  <si>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</si>
  <si>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</si>
  <si>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</si>
  <si>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</si>
  <si>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</si>
  <si>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</si>
  <si>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</si>
  <si>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</si>
  <si>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</si>
  <si>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</si>
  <si>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</si>
  <si>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</si>
  <si>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</si>
  <si>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</si>
  <si>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</si>
  <si>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</si>
  <si>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</si>
  <si>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</si>
  <si>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</si>
  <si>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</si>
  <si>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</si>
  <si>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</si>
  <si>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</si>
  <si>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</si>
  <si>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</si>
  <si>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</si>
  <si>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</si>
  <si>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</si>
  <si>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</si>
  <si>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</si>
  <si>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</si>
  <si>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</si>
  <si>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</si>
  <si>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</si>
  <si>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</si>
  <si>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</si>
  <si>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</si>
  <si>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</si>
  <si>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</si>
  <si>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</si>
  <si>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</si>
  <si>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</si>
  <si>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</si>
  <si>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</si>
  <si>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</si>
  <si>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</si>
  <si>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</si>
  <si>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</si>
  <si>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</si>
  <si>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</si>
  <si>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</si>
  <si>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</si>
  <si>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</si>
  <si>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</si>
  <si>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</si>
  <si>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</si>
  <si>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</si>
  <si>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</si>
  <si>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</si>
  <si>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</si>
  <si>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</si>
  <si>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</si>
  <si>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</si>
  <si>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</si>
  <si>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</si>
  <si>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</si>
  <si>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</si>
  <si>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</si>
  <si>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</si>
  <si>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</si>
  <si>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</si>
  <si>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</si>
  <si>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</si>
  <si>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</si>
  <si>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</si>
  <si>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</si>
  <si>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</si>
  <si>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</si>
  <si>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</si>
  <si>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</si>
  <si>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</si>
  <si>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</si>
  <si>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</si>
  <si>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</si>
  <si>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</si>
  <si>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</si>
  <si>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</si>
  <si>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</si>
  <si>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</si>
  <si>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</si>
  <si>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</si>
  <si>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</si>
  <si>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</si>
  <si>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</si>
  <si>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</si>
  <si>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</si>
  <si>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</si>
  <si>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</si>
  <si>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</si>
  <si>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</si>
  <si>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</si>
  <si>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</si>
  <si>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</si>
  <si>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</si>
  <si>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</si>
  <si>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</si>
  <si>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</si>
  <si>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</si>
  <si>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</si>
  <si>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</si>
  <si>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</si>
  <si>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</si>
  <si>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</si>
  <si>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</si>
  <si>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</si>
  <si>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</si>
  <si>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</si>
  <si>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</si>
  <si>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</si>
  <si>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</si>
  <si>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</si>
  <si>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</si>
  <si>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</si>
  <si>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</si>
  <si>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</si>
  <si>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</si>
  <si>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</si>
  <si>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</si>
  <si>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</si>
  <si>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</si>
  <si>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</si>
  <si>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</si>
  <si>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</si>
  <si>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</si>
  <si>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</si>
  <si>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</si>
  <si>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</si>
  <si>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</si>
  <si>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</si>
  <si>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</si>
  <si>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</si>
  <si>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</si>
  <si>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</si>
  <si>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</si>
  <si>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</si>
  <si>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</si>
  <si>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</si>
  <si>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</si>
  <si>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</si>
  <si>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</si>
  <si>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</si>
  <si>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</si>
  <si>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</si>
  <si>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</si>
  <si>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</si>
  <si>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</si>
  <si>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</si>
  <si>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</si>
  <si>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</si>
  <si>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</si>
  <si>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</si>
  <si>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</si>
  <si>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</si>
  <si>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</si>
  <si>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</si>
  <si>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</si>
  <si>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</si>
  <si>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</si>
  <si>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</si>
  <si>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</si>
  <si>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</si>
  <si>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</si>
  <si>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</si>
  <si>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</si>
  <si>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</si>
  <si>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</si>
  <si>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</si>
  <si>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</si>
  <si>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</si>
  <si>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</si>
  <si>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</si>
  <si>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</si>
  <si>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</si>
  <si>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</si>
  <si>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</si>
  <si>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</si>
  <si>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</si>
  <si>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</si>
  <si>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</si>
  <si>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</si>
  <si>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</si>
  <si>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</si>
  <si>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</si>
  <si>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</si>
  <si>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</si>
  <si>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</si>
  <si>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</si>
  <si>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</si>
  <si>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</si>
  <si>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</si>
  <si>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</si>
  <si>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</si>
  <si>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</si>
  <si>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</si>
  <si>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</si>
  <si>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</si>
  <si>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</si>
  <si>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</si>
  <si>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</si>
  <si>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</si>
  <si>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</si>
  <si>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</si>
  <si>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</si>
  <si>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</si>
  <si>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</si>
  <si>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</si>
  <si>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</si>
  <si>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</si>
  <si>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</si>
  <si>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</si>
  <si>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</si>
  <si>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</si>
  <si>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</si>
  <si>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</si>
  <si>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</si>
  <si>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</si>
  <si>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</si>
  <si>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</si>
  <si>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</si>
  <si>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</si>
  <si>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</si>
  <si>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</si>
  <si>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</si>
  <si>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</si>
  <si>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</si>
  <si>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</si>
  <si>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</si>
  <si>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</si>
  <si>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</si>
  <si>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</si>
  <si>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</si>
  <si>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</si>
  <si>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</si>
  <si>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</si>
  <si>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</si>
  <si>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</si>
  <si>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</si>
  <si>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</si>
  <si>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</si>
  <si>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</si>
  <si>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</si>
  <si>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</si>
  <si>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</si>
  <si>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</si>
  <si>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</si>
  <si>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</si>
  <si>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</si>
  <si>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</si>
  <si>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</si>
  <si>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</si>
  <si>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</si>
  <si>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</si>
  <si>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</si>
  <si>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</si>
  <si>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</si>
  <si>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</si>
  <si>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</si>
  <si>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</si>
  <si>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</si>
  <si>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</si>
  <si>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</si>
  <si>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</si>
  <si>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</si>
  <si>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</si>
  <si>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</si>
  <si>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</si>
  <si>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</si>
  <si>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</si>
  <si>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</si>
  <si>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</si>
  <si>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</si>
  <si>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</si>
  <si>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</si>
  <si>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</si>
  <si>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</si>
  <si>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</si>
  <si>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</si>
  <si>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</si>
  <si>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</si>
  <si>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</si>
  <si>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</si>
  <si>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</si>
  <si>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</si>
  <si>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</si>
  <si>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</si>
  <si>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</si>
  <si>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</si>
  <si>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</si>
  <si>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</si>
  <si>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</si>
  <si>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</si>
  <si>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</si>
  <si>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</si>
  <si>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</si>
  <si>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</si>
  <si>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</si>
  <si>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</si>
  <si>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</si>
  <si>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</si>
  <si>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</si>
  <si>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</si>
  <si>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</si>
  <si>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</si>
  <si>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</si>
  <si>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</si>
  <si>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</si>
  <si>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</si>
  <si>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</si>
  <si>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</si>
  <si>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</si>
  <si>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</si>
  <si>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</si>
  <si>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</si>
  <si>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</si>
  <si>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</si>
  <si>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</si>
  <si>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</si>
  <si>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</si>
  <si>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</si>
  <si>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</si>
  <si>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</si>
  <si>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</si>
  <si>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</si>
  <si>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</si>
  <si>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</si>
  <si>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</si>
  <si>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</si>
  <si>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</si>
  <si>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</si>
  <si>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</si>
  <si>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</si>
  <si>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</si>
  <si>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</si>
  <si>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</si>
  <si>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</si>
  <si>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</si>
  <si>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</si>
  <si>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</si>
  <si>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</si>
  <si>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</si>
  <si>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</si>
  <si>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</si>
  <si>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</si>
  <si>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</si>
  <si>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</si>
  <si>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</si>
  <si>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</si>
  <si>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</si>
  <si>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</si>
  <si>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</si>
  <si>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</si>
  <si>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</si>
  <si>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</si>
  <si>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</si>
  <si>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</si>
  <si>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</si>
  <si>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</si>
  <si>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</si>
  <si>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</si>
  <si>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</si>
  <si>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</si>
  <si>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</si>
  <si>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</si>
  <si>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</si>
  <si>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</si>
  <si>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</si>
  <si>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</si>
  <si>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</si>
  <si>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</si>
  <si>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</si>
  <si>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</si>
  <si>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</si>
  <si>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</si>
  <si>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</si>
  <si>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</si>
  <si>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</si>
  <si>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</si>
  <si>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</si>
  <si>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</si>
  <si>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</si>
  <si>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</si>
  <si>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</si>
  <si>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</si>
  <si>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</si>
  <si>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</si>
  <si>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</si>
  <si>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</si>
  <si>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</si>
  <si>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</si>
  <si>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</si>
  <si>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</si>
  <si>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</si>
  <si>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</si>
  <si>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</si>
  <si>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</si>
  <si>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</si>
  <si>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</si>
  <si>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</si>
  <si>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</si>
  <si>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</si>
  <si>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</si>
  <si>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</si>
  <si>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</si>
  <si>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</si>
  <si>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</si>
  <si>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</si>
  <si>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</si>
  <si>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</si>
  <si>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</si>
  <si>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</si>
  <si>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</si>
  <si>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</si>
  <si>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</si>
  <si>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</si>
  <si>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</si>
  <si>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</si>
  <si>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</si>
  <si>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</si>
  <si>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</si>
  <si>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</si>
  <si>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</si>
  <si>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</si>
  <si>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</si>
  <si>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</si>
  <si>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</si>
  <si>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</si>
  <si>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</si>
  <si>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</si>
  <si>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</si>
  <si>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</si>
  <si>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</si>
  <si>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</si>
  <si>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</si>
  <si>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</si>
  <si>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</si>
  <si>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</si>
  <si>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</si>
  <si>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</si>
  <si>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</si>
  <si>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</si>
  <si>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</si>
  <si>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</si>
  <si>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</si>
  <si>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</si>
  <si>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</si>
  <si>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</si>
  <si>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</si>
  <si>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</si>
  <si>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</si>
  <si>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</si>
  <si>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</si>
  <si>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</si>
  <si>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</si>
  <si>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</si>
  <si>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</si>
  <si>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</si>
  <si>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</si>
  <si>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</si>
  <si>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</si>
  <si>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</si>
  <si>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</si>
  <si>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</si>
  <si>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</si>
  <si>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</si>
  <si>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</si>
  <si>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</si>
  <si>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</si>
  <si>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</si>
  <si>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</si>
  <si>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</si>
  <si>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</si>
  <si>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</si>
  <si>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</si>
  <si>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</si>
  <si>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</si>
  <si>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</si>
  <si>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</si>
  <si>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</si>
  <si>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</si>
  <si>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</si>
  <si>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</si>
  <si>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</si>
  <si>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</si>
  <si>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</si>
  <si>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</si>
  <si>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</si>
  <si>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</si>
  <si>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</si>
  <si>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</si>
  <si>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</si>
  <si>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</si>
  <si>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</si>
  <si>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</si>
  <si>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</si>
  <si>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</si>
  <si>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</si>
  <si>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</si>
  <si>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</si>
  <si>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</si>
  <si>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</si>
  <si>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</si>
  <si>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</si>
  <si>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</si>
  <si>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</si>
  <si>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</si>
  <si>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</si>
  <si>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</si>
  <si>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</si>
  <si>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</si>
  <si>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</si>
  <si>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</si>
  <si>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</si>
  <si>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</si>
  <si>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</si>
  <si>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</si>
  <si>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</si>
  <si>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</si>
  <si>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</si>
  <si>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</si>
  <si>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</si>
  <si>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</si>
  <si>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</si>
  <si>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</si>
  <si>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</si>
  <si>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</si>
  <si>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</si>
  <si>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</si>
  <si>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</si>
  <si>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</si>
  <si>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</si>
  <si>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</si>
  <si>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</si>
  <si>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</si>
  <si>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</si>
  <si>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</si>
  <si>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</si>
  <si>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</si>
  <si>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</si>
  <si>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</si>
  <si>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</si>
  <si>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</si>
  <si>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</si>
  <si>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</si>
  <si>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</si>
  <si>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</si>
  <si>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</si>
  <si>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</si>
  <si>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</si>
  <si>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</si>
  <si>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</si>
  <si>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</si>
  <si>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</si>
  <si>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</si>
  <si>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</si>
  <si>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</si>
  <si>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</si>
  <si>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</si>
  <si>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</si>
  <si>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</si>
  <si>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</si>
  <si>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</si>
  <si>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</si>
  <si>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</si>
  <si>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</si>
  <si>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</si>
  <si>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</si>
  <si>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</si>
  <si>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</si>
  <si>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</si>
  <si>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</si>
  <si>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</si>
  <si>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</si>
  <si>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</si>
  <si>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</si>
  <si>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</si>
  <si>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</si>
  <si>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</si>
  <si>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</si>
  <si>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</si>
  <si>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</si>
  <si>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</si>
  <si>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</si>
  <si>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</si>
  <si>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</si>
  <si>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</si>
  <si>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</si>
  <si>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</si>
  <si>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</si>
  <si>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</si>
  <si>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</si>
  <si>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</si>
  <si>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</si>
  <si>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</si>
  <si>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</si>
  <si>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</si>
  <si>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</si>
  <si>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</si>
  <si>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</si>
  <si>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</si>
  <si>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</si>
  <si>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</si>
  <si>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</si>
  <si>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</si>
  <si>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</si>
  <si>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</si>
  <si>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</si>
  <si>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</si>
  <si>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</si>
  <si>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</si>
  <si>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</si>
  <si>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</si>
  <si>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</si>
  <si>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</si>
  <si>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</si>
  <si>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</si>
  <si>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</si>
  <si>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</si>
  <si>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</si>
  <si>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</si>
  <si>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</si>
  <si>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</si>
  <si>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</si>
  <si>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</si>
  <si>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</si>
  <si>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</si>
  <si>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</si>
  <si>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</si>
  <si>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</si>
  <si>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</si>
  <si>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</si>
  <si>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</si>
  <si>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</si>
  <si>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</si>
  <si>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</si>
  <si>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</si>
  <si>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</si>
  <si>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</si>
  <si>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</si>
  <si>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</si>
  <si>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</si>
  <si>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</si>
  <si>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</si>
  <si>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</si>
  <si>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</si>
  <si>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</si>
  <si>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</si>
  <si>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</si>
  <si>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</si>
  <si>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</si>
  <si>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</si>
  <si>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</si>
  <si>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</si>
  <si>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</si>
  <si>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</si>
  <si>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</si>
  <si>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</si>
  <si>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</si>
  <si>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</si>
  <si>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</si>
  <si>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</si>
  <si>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</si>
  <si>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</si>
  <si>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</si>
  <si>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</si>
  <si>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</si>
  <si>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</si>
  <si>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</si>
  <si>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</si>
  <si>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</si>
  <si>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</si>
  <si>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</si>
  <si>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</si>
  <si>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</si>
  <si>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</si>
  <si>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</si>
  <si>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</si>
  <si>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</si>
  <si>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</si>
  <si>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</si>
  <si>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</si>
  <si>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</si>
  <si>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</si>
  <si>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</si>
  <si>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</si>
  <si>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</si>
  <si>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</si>
  <si>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</si>
  <si>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</si>
  <si>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</si>
  <si>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</si>
  <si>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</si>
  <si>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</si>
  <si>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</si>
  <si>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</si>
  <si>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</si>
  <si>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</si>
  <si>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</si>
  <si>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</si>
  <si>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</si>
  <si>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</si>
  <si>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</si>
  <si>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</si>
  <si>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</si>
  <si>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</si>
  <si>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</si>
  <si>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</si>
  <si>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</si>
  <si>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</si>
  <si>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</si>
  <si>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</si>
  <si>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</si>
  <si>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</si>
  <si>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</si>
  <si>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</si>
  <si>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</si>
  <si>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</si>
  <si>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</si>
  <si>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</si>
  <si>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</si>
  <si>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</si>
  <si>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</si>
  <si>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</si>
  <si>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</si>
  <si>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</si>
  <si>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</si>
  <si>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</si>
  <si>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</si>
  <si>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</si>
  <si>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</si>
  <si>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</si>
  <si>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</si>
  <si>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</si>
  <si>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</si>
  <si>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</si>
  <si>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</si>
  <si>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</si>
  <si>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</si>
  <si>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</si>
  <si>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</si>
  <si>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</si>
  <si>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</si>
  <si>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</si>
  <si>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</si>
  <si>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</si>
  <si>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</si>
  <si>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</si>
  <si>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</si>
  <si>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</si>
  <si>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</si>
  <si>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</si>
  <si>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</si>
  <si>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</si>
  <si>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</si>
  <si>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</si>
  <si>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</si>
  <si>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</si>
  <si>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</si>
  <si>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</si>
  <si>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</si>
  <si>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</si>
  <si>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</si>
  <si>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</si>
  <si>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</si>
  <si>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</si>
  <si>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</si>
  <si>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</si>
  <si>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</si>
  <si>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</si>
  <si>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</si>
  <si>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</si>
  <si>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</si>
  <si>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</si>
  <si>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</si>
  <si>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</si>
  <si>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</si>
  <si>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</si>
  <si>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</si>
  <si>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</si>
  <si>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</si>
  <si>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</si>
  <si>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</si>
  <si>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</si>
  <si>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</si>
  <si>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</si>
  <si>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</si>
  <si>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</si>
  <si>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</si>
  <si>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</si>
  <si>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</si>
  <si>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</si>
  <si>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</si>
  <si>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</si>
  <si>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</si>
  <si>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</si>
  <si>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</si>
  <si>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</si>
  <si>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</si>
  <si>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</si>
  <si>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</si>
  <si>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</si>
  <si>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</si>
  <si>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</si>
  <si>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</si>
  <si>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</si>
  <si>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</si>
  <si>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</si>
  <si>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</si>
  <si>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</si>
  <si>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</si>
  <si>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</si>
  <si>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</si>
  <si>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</si>
  <si>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</si>
  <si>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</si>
  <si>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</si>
  <si>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</si>
  <si>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</si>
  <si>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</si>
  <si>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</si>
  <si>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</si>
  <si>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</si>
  <si>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</si>
  <si>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</si>
  <si>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</si>
  <si>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</si>
  <si>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</si>
  <si>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</si>
  <si>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</si>
  <si>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</si>
  <si>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</si>
  <si>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</si>
  <si>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</si>
  <si>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</si>
  <si>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</si>
  <si>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</si>
  <si>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</si>
  <si>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</si>
  <si>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</si>
  <si>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</si>
  <si>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</si>
  <si>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</si>
  <si>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</si>
  <si>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</si>
  <si>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</si>
  <si>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</si>
  <si>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</si>
  <si>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</si>
  <si>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</si>
  <si>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</si>
  <si>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</si>
  <si>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</si>
  <si>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</si>
  <si>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</si>
  <si>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</si>
  <si>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</si>
  <si>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</si>
  <si>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</si>
  <si>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</si>
  <si>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</si>
  <si>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</si>
  <si>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</si>
  <si>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</si>
  <si>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</si>
  <si>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</si>
  <si>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</si>
  <si>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</si>
  <si>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</si>
  <si>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</si>
  <si>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</si>
  <si>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</si>
  <si>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</si>
  <si>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</si>
  <si>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</si>
  <si>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</si>
  <si>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</si>
  <si>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</si>
  <si>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</si>
  <si>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</si>
  <si>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</si>
  <si>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</si>
  <si>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</si>
  <si>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</si>
  <si>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</si>
  <si>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</si>
  <si>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</si>
  <si>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</si>
  <si>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</si>
  <si>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</si>
  <si>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</si>
  <si>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</si>
  <si>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</si>
  <si>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</si>
  <si>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</si>
  <si>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</si>
  <si>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</si>
  <si>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</si>
  <si>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</si>
  <si>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</si>
  <si>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</si>
  <si>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</si>
  <si>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</si>
  <si>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</si>
  <si>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</si>
  <si>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</si>
  <si>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</si>
  <si>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</si>
  <si>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</si>
  <si>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</si>
  <si>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</si>
  <si>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</si>
  <si>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</si>
  <si>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</si>
  <si>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</si>
  <si>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</si>
  <si>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</si>
  <si>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</si>
  <si>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</si>
  <si>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</si>
  <si>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</si>
  <si>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</si>
  <si>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</si>
  <si>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</si>
  <si>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</si>
  <si>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</si>
  <si>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</si>
  <si>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</si>
  <si>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</si>
  <si>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</si>
  <si>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</si>
  <si>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</si>
  <si>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</si>
  <si>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</si>
  <si>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</si>
  <si>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</si>
  <si>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</si>
  <si>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</si>
  <si>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</si>
  <si>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</si>
  <si>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</si>
  <si>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</si>
  <si>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</si>
  <si>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</si>
  <si>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</si>
  <si>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</si>
  <si>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</si>
  <si>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</si>
  <si>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</si>
  <si>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</si>
  <si>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</si>
  <si>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</si>
  <si>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</si>
  <si>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</si>
  <si>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</si>
  <si>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</si>
  <si>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</si>
  <si>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</si>
  <si>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</si>
  <si>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</si>
  <si>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</si>
  <si>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</si>
  <si>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</si>
  <si>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</si>
  <si>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</si>
  <si>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</si>
  <si>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</si>
  <si>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</si>
  <si>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</si>
  <si>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</si>
  <si>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</si>
  <si>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</si>
  <si>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</si>
  <si>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</si>
  <si>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</si>
  <si>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</si>
  <si>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</si>
  <si>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</si>
  <si>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</si>
  <si>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</si>
  <si>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</si>
  <si>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</si>
  <si>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</si>
  <si>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</si>
  <si>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</si>
  <si>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</si>
  <si>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</si>
  <si>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</si>
  <si>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</si>
  <si>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</si>
  <si>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</si>
  <si>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</si>
  <si>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</si>
  <si>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</si>
  <si>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</si>
  <si>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</si>
  <si>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</si>
  <si>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</si>
  <si>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</si>
  <si>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</si>
  <si>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</si>
  <si>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</si>
  <si>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</si>
  <si>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</si>
  <si>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</si>
  <si>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</si>
  <si>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</si>
  <si>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</si>
  <si>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</si>
  <si>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</si>
  <si>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</si>
  <si>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</si>
  <si>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</si>
  <si>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</si>
  <si>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</si>
  <si>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</si>
  <si>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</si>
  <si>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</si>
  <si>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</si>
  <si>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</si>
  <si>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</si>
  <si>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</si>
  <si>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</si>
  <si>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</si>
  <si>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</si>
  <si>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</si>
  <si>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</si>
  <si>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</si>
  <si>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</si>
  <si>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</si>
  <si>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</si>
  <si>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</si>
  <si>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</si>
  <si>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</si>
  <si>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</si>
  <si>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</si>
  <si>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</si>
  <si>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</si>
  <si>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</si>
  <si>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</si>
  <si>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</si>
  <si>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</si>
  <si>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</si>
  <si>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</si>
  <si>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</si>
  <si>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</si>
  <si>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</si>
  <si>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</si>
  <si>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</si>
  <si>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</si>
  <si>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</si>
  <si>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</si>
  <si>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</si>
  <si>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</si>
  <si>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</si>
  <si>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</si>
  <si>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</si>
  <si>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</si>
  <si>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</si>
  <si>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</si>
  <si>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</si>
  <si>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</si>
  <si>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</si>
  <si>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</si>
  <si>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</si>
  <si>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</si>
  <si>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</si>
  <si>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</si>
  <si>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</si>
  <si>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</si>
  <si>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</si>
  <si>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</si>
  <si>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</si>
  <si>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</si>
  <si>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</si>
  <si>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</si>
  <si>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</si>
  <si>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</si>
  <si>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</si>
  <si>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</si>
  <si>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</si>
  <si>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</si>
  <si>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</si>
  <si>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</si>
  <si>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</si>
  <si>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</si>
  <si>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</si>
  <si>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</si>
  <si>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</si>
  <si>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</si>
  <si>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</si>
  <si>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</si>
  <si>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</si>
  <si>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</si>
  <si>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</si>
  <si>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</si>
  <si>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</si>
  <si>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</si>
  <si>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</si>
  <si>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</si>
  <si>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</si>
  <si>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</si>
  <si>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</si>
  <si>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</si>
  <si>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</si>
  <si>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</si>
  <si>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</si>
  <si>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</si>
  <si>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</si>
  <si>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</si>
  <si>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</si>
  <si>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</si>
  <si>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</si>
  <si>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</si>
  <si>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</si>
  <si>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</si>
  <si>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</si>
  <si>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</si>
  <si>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</si>
  <si>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</si>
  <si>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</si>
  <si>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</si>
  <si>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</si>
  <si>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</si>
  <si>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</si>
  <si>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</si>
  <si>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</si>
  <si>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</si>
  <si>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</si>
  <si>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</si>
  <si>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</si>
  <si>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</si>
  <si>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</si>
  <si>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</si>
  <si>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</si>
  <si>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</si>
  <si>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</si>
  <si>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</si>
  <si>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</si>
  <si>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</si>
  <si>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</si>
  <si>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</si>
  <si>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</si>
  <si>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</si>
  <si>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</si>
  <si>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</si>
  <si>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</si>
  <si>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</si>
  <si>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</si>
  <si>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</si>
  <si>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</si>
  <si>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</si>
  <si>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</si>
  <si>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</si>
  <si>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</si>
  <si>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</si>
  <si>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</si>
  <si>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</si>
  <si>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</si>
  <si>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</si>
  <si>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</si>
  <si>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</si>
  <si>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</si>
  <si>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</si>
  <si>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</si>
  <si>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</si>
  <si>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</si>
  <si>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</si>
  <si>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</si>
  <si>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</si>
  <si>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</si>
  <si>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</si>
  <si>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</si>
  <si>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</si>
  <si>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</si>
  <si>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</si>
  <si>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</si>
  <si>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</si>
  <si>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</si>
  <si>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</si>
  <si>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</si>
  <si>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</si>
  <si>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</si>
  <si>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</si>
  <si>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</si>
  <si>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</si>
  <si>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</si>
  <si>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</si>
  <si>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</si>
  <si>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</si>
  <si>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</si>
  <si>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</si>
  <si>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</si>
  <si>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</si>
  <si>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</si>
  <si>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</si>
  <si>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</si>
  <si>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</si>
  <si>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</si>
  <si>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</si>
  <si>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</si>
  <si>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</si>
  <si>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</si>
  <si>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</si>
  <si>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</si>
  <si>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</si>
  <si>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</si>
  <si>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</si>
  <si>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</si>
  <si>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</si>
  <si>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</si>
  <si>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</si>
  <si>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</si>
  <si>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</si>
  <si>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</si>
  <si>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</si>
  <si>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</si>
  <si>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</si>
  <si>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</si>
  <si>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</si>
  <si>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</si>
  <si>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</si>
  <si>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</si>
  <si>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</si>
  <si>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</si>
  <si>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</si>
  <si>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</si>
  <si>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</si>
  <si>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</si>
  <si>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</si>
  <si>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</si>
  <si>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</si>
  <si>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</si>
  <si>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</si>
  <si>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</si>
  <si>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</si>
  <si>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</si>
  <si>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</si>
  <si>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</si>
  <si>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</si>
  <si>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</si>
  <si>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</si>
  <si>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</si>
  <si>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</si>
  <si>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</si>
  <si>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</si>
  <si>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</si>
  <si>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</si>
  <si>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</si>
  <si>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</si>
  <si>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</si>
  <si>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</si>
  <si>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</si>
  <si>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</si>
  <si>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</si>
  <si>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</si>
  <si>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</si>
  <si>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</si>
  <si>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</si>
  <si>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</si>
  <si>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</si>
  <si>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</si>
  <si>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</si>
  <si>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</si>
  <si>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</si>
  <si>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</si>
  <si>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</si>
  <si>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</si>
  <si>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</si>
  <si>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</si>
  <si>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</si>
  <si>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</si>
  <si>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</si>
  <si>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</si>
  <si>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</si>
  <si>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</si>
  <si>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</si>
  <si>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</si>
  <si>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</si>
  <si>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</si>
  <si>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</si>
  <si>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</si>
  <si>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</si>
  <si>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</si>
  <si>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</si>
  <si>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</si>
  <si>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</si>
  <si>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</si>
  <si>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</si>
  <si>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</si>
  <si>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</si>
  <si>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</si>
  <si>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</si>
  <si>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</si>
  <si>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</si>
  <si>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</si>
  <si>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</si>
  <si>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</si>
  <si>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</si>
  <si>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</si>
  <si>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</si>
  <si>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</si>
  <si>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</si>
  <si>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</si>
  <si>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</si>
  <si>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</si>
  <si>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</si>
  <si>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</si>
  <si>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</si>
  <si>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</si>
  <si>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</si>
  <si>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</si>
  <si>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</si>
  <si>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</si>
  <si>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</si>
  <si>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</si>
  <si>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</si>
  <si>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</si>
  <si>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</si>
  <si>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</si>
  <si>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</si>
  <si>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</si>
  <si>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</si>
  <si>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</si>
  <si>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</si>
  <si>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</si>
  <si>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</si>
  <si>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</si>
  <si>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</si>
  <si>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</si>
  <si>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</si>
  <si>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</si>
  <si>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</si>
  <si>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</si>
  <si>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</si>
  <si>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</si>
  <si>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</si>
  <si>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</si>
  <si>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</si>
  <si>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</si>
  <si>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</si>
  <si>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</si>
  <si>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</si>
  <si>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</si>
  <si>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</si>
  <si>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</si>
  <si>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</si>
  <si>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</si>
  <si>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</si>
  <si>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</si>
  <si>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</si>
  <si>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</si>
  <si>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</si>
  <si>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</si>
  <si>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</si>
  <si>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</si>
  <si>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</si>
  <si>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</si>
  <si>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</si>
  <si>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</si>
  <si>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</si>
  <si>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</si>
  <si>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</si>
  <si>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</si>
  <si>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</si>
  <si>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</si>
  <si>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</si>
  <si>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</si>
  <si>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</si>
  <si>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</si>
  <si>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</si>
  <si>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</si>
  <si>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</si>
  <si>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</si>
  <si>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</si>
  <si>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</si>
  <si>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</si>
  <si>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</si>
  <si>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</si>
  <si>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</si>
  <si>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</si>
  <si>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</si>
  <si>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</si>
  <si>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</si>
  <si>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</si>
  <si>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</si>
  <si>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</si>
  <si>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</si>
  <si>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</si>
  <si>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</si>
  <si>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</si>
  <si>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</si>
  <si>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</si>
  <si>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</si>
  <si>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</si>
  <si>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</si>
  <si>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</si>
  <si>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</si>
  <si>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</si>
  <si>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</si>
  <si>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</si>
  <si>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</si>
  <si>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</si>
  <si>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</si>
  <si>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</si>
  <si>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</si>
  <si>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</si>
  <si>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</si>
  <si>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</si>
  <si>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</si>
  <si>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</si>
  <si>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</si>
  <si>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</si>
  <si>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</si>
  <si>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</si>
  <si>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</si>
  <si>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</si>
  <si>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</si>
  <si>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</si>
  <si>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</si>
  <si>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</si>
  <si>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</si>
  <si>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</si>
  <si>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</si>
  <si>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</si>
  <si>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</si>
  <si>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</si>
  <si>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</si>
  <si>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</si>
  <si>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</si>
  <si>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</si>
  <si>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</si>
  <si>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</si>
  <si>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</si>
  <si>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</si>
  <si>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</si>
  <si>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</si>
  <si>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</si>
  <si>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</si>
  <si>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</si>
  <si>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</si>
  <si>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</si>
  <si>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</si>
  <si>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</si>
  <si>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</si>
  <si>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</si>
  <si>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</si>
  <si>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</si>
  <si>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</si>
  <si>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</si>
  <si>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</si>
  <si>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</si>
  <si>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</si>
  <si>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</si>
  <si>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</si>
  <si>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</si>
  <si>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</si>
  <si>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</si>
  <si>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</si>
  <si>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</si>
  <si>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</si>
  <si>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</si>
  <si>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</si>
  <si>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</si>
  <si>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</si>
  <si>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</si>
  <si>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</si>
  <si>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</si>
  <si>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</si>
  <si>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</si>
  <si>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</si>
  <si>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</si>
  <si>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</si>
  <si>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</si>
  <si>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</si>
  <si>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</si>
  <si>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</si>
  <si>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</si>
  <si>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</si>
  <si>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</si>
  <si>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</si>
  <si>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</si>
  <si>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</si>
  <si>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</si>
  <si>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</si>
  <si>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</si>
  <si>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</si>
  <si>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</si>
  <si>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</si>
  <si>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</si>
  <si>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</si>
  <si>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</si>
  <si>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</si>
  <si>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</si>
  <si>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</si>
  <si>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</si>
  <si>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</si>
  <si>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</si>
  <si>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</si>
  <si>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</si>
  <si>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</si>
  <si>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</si>
  <si>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</si>
  <si>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</si>
  <si>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</si>
  <si>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</si>
  <si>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</si>
  <si>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</si>
  <si>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</si>
  <si>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</si>
  <si>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</si>
  <si>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</si>
  <si>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</si>
  <si>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</si>
  <si>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</si>
  <si>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</si>
  <si>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</si>
  <si>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</si>
  <si>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</si>
  <si>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</si>
  <si>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</si>
  <si>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</si>
  <si>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</si>
  <si>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</si>
  <si>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</si>
  <si>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</si>
  <si>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</si>
  <si>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</si>
  <si>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</si>
  <si>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</si>
  <si>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</si>
  <si>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</si>
  <si>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</si>
  <si>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</si>
  <si>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</si>
  <si>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</si>
  <si>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</si>
  <si>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</si>
  <si>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</si>
  <si>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</si>
  <si>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</si>
  <si>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</si>
  <si>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</si>
  <si>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</si>
  <si>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</si>
  <si>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</si>
  <si>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</si>
  <si>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</si>
  <si>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</si>
  <si>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</si>
  <si>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</si>
  <si>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</si>
  <si>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</si>
  <si>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</si>
  <si>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</si>
  <si>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</si>
  <si>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</si>
  <si>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</si>
  <si>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</si>
  <si>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</si>
  <si>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</si>
  <si>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</si>
  <si>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</si>
  <si>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</si>
  <si>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</si>
  <si>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</si>
  <si>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</si>
  <si>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</si>
  <si>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</si>
  <si>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</si>
  <si>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</si>
  <si>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</si>
  <si>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</si>
  <si>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</si>
  <si>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</si>
  <si>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</si>
  <si>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</si>
  <si>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</si>
  <si>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</si>
  <si>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</si>
  <si>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</si>
  <si>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</si>
  <si>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</si>
  <si>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</si>
  <si>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</si>
  <si>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</si>
  <si>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</si>
  <si>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</si>
  <si>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</si>
  <si>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</si>
  <si>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</si>
  <si>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</si>
  <si>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</si>
  <si>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</si>
  <si>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</si>
  <si>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</si>
  <si>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</si>
  <si>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</si>
  <si>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</si>
  <si>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</si>
  <si>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</si>
  <si>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</si>
  <si>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</si>
  <si>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</si>
  <si>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</si>
  <si>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</si>
  <si>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</si>
  <si>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</si>
  <si>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</si>
  <si>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</si>
  <si>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</si>
  <si>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</si>
  <si>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</si>
  <si>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</si>
  <si>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</si>
  <si>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</si>
  <si>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</si>
  <si>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</si>
  <si>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</si>
  <si>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</si>
  <si>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</si>
  <si>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</si>
  <si>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</si>
  <si>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</si>
  <si>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</si>
  <si>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</si>
  <si>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</si>
  <si>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</si>
  <si>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</si>
  <si>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</si>
  <si>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</si>
  <si>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</si>
  <si>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</si>
  <si>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</si>
  <si>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</si>
  <si>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</si>
  <si>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</si>
  <si>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</si>
  <si>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</si>
  <si>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</si>
  <si>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</si>
  <si>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</si>
  <si>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</si>
  <si>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</si>
  <si>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</si>
  <si>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</si>
  <si>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</si>
  <si>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</si>
  <si>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</si>
  <si>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</si>
  <si>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</si>
  <si>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</si>
  <si>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</si>
  <si>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</si>
  <si>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</si>
  <si>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</si>
  <si>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</si>
  <si>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</si>
  <si>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</si>
  <si>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</si>
  <si>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</si>
  <si>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</si>
  <si>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</si>
  <si>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</si>
  <si>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</si>
  <si>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</si>
  <si>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</si>
  <si>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</si>
  <si>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</si>
  <si>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</si>
  <si>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</si>
  <si>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</si>
  <si>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</si>
  <si>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</si>
  <si>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</si>
  <si>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</si>
  <si>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</si>
  <si>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</si>
  <si>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</si>
  <si>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</si>
  <si>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</si>
  <si>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</si>
  <si>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</si>
  <si>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</si>
  <si>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</si>
  <si>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</si>
  <si>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</si>
  <si>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</si>
  <si>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</si>
  <si>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</si>
  <si>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</si>
  <si>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</si>
  <si>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</si>
  <si>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</si>
  <si>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</si>
  <si>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</si>
  <si>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</si>
  <si>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</si>
  <si>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</si>
  <si>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</si>
  <si>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</si>
  <si>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</si>
  <si>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</si>
  <si>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</si>
  <si>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</si>
  <si>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</si>
  <si>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</si>
  <si>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</si>
  <si>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</si>
  <si>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</si>
  <si>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</si>
  <si>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</si>
  <si>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</si>
  <si>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</si>
  <si>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</si>
  <si>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</si>
  <si>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</si>
  <si>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</si>
  <si>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</si>
  <si>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</si>
  <si>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</si>
  <si>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</si>
  <si>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</si>
  <si>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</si>
  <si>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</si>
  <si>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</si>
  <si>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</si>
  <si>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</si>
  <si>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</si>
  <si>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</si>
  <si>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</si>
  <si>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</si>
  <si>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</si>
  <si>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</si>
  <si>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</si>
  <si>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</si>
  <si>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</si>
  <si>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</si>
  <si>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</si>
  <si>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</si>
  <si>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</si>
  <si>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</si>
  <si>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</si>
  <si>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</si>
  <si>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</si>
  <si>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</si>
  <si>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</si>
  <si>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</si>
  <si>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</si>
  <si>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</si>
  <si>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</si>
  <si>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</si>
  <si>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</si>
  <si>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</si>
  <si>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</si>
  <si>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</si>
  <si>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</si>
  <si>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</si>
  <si>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</si>
  <si>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</si>
  <si>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</si>
  <si>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</si>
  <si>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</si>
  <si>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</si>
  <si>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</si>
  <si>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</si>
  <si>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</si>
  <si>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</si>
  <si>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</si>
  <si>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</si>
  <si>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</si>
  <si>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</si>
  <si>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</si>
  <si>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</si>
  <si>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</si>
  <si>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</si>
  <si>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</si>
  <si>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</si>
  <si>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</si>
  <si>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</si>
  <si>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</si>
  <si>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</si>
  <si>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</si>
  <si>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</si>
  <si>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</si>
  <si>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</si>
  <si>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</si>
  <si>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</si>
  <si>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</si>
  <si>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</si>
  <si>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</si>
  <si>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</si>
  <si>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</si>
  <si>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</si>
  <si>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</si>
  <si>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</si>
  <si>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</si>
  <si>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</si>
  <si>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</si>
  <si>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</si>
  <si>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</si>
  <si>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</si>
  <si>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</si>
  <si>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</si>
  <si>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</si>
  <si>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</si>
  <si>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</si>
  <si>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</si>
  <si>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</si>
  <si>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</si>
  <si>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</si>
  <si>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</si>
  <si>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</si>
  <si>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</si>
  <si>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</si>
  <si>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</si>
  <si>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</si>
  <si>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</si>
  <si>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</si>
  <si>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</si>
  <si>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</si>
  <si>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</si>
  <si>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</si>
  <si>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</si>
  <si>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</si>
  <si>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</si>
  <si>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</si>
  <si>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</si>
  <si>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</si>
  <si>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</si>
  <si>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</si>
  <si>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</si>
  <si>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</si>
  <si>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</si>
  <si>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</si>
  <si>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</si>
  <si>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</si>
  <si>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</si>
  <si>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</si>
  <si>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</si>
  <si>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</si>
  <si>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</si>
  <si>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</si>
  <si>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</si>
  <si>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</si>
  <si>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</si>
  <si>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</si>
  <si>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</si>
  <si>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</si>
  <si>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</si>
  <si>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</si>
  <si>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</si>
  <si>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</si>
  <si>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</si>
  <si>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</si>
  <si>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</si>
  <si>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</si>
  <si>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</si>
  <si>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</si>
  <si>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</si>
  <si>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</si>
  <si>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</si>
  <si>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</si>
  <si>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</si>
  <si>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</si>
  <si>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</si>
  <si>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</si>
  <si>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</si>
  <si>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</si>
  <si>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</si>
  <si>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</si>
  <si>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</si>
  <si>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</si>
  <si>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</si>
  <si>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</si>
  <si>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</si>
  <si>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</si>
  <si>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</si>
  <si>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</si>
  <si>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</si>
  <si>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</si>
  <si>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</si>
  <si>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</si>
  <si>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</si>
  <si>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</si>
  <si>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</si>
  <si>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</si>
  <si>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</si>
  <si>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</si>
  <si>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</si>
  <si>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</si>
  <si>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</si>
  <si>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</si>
  <si>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</si>
  <si>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</si>
  <si>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</si>
  <si>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</si>
  <si>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</si>
  <si>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</si>
  <si>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</si>
  <si>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</si>
  <si>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</si>
  <si>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</si>
  <si>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</si>
  <si>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</si>
  <si>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</si>
  <si>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</si>
  <si>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</si>
  <si>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</si>
  <si>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</si>
  <si>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</si>
  <si>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</si>
  <si>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</si>
  <si>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</si>
  <si>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</si>
  <si>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</si>
  <si>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</si>
  <si>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</si>
  <si>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</si>
  <si>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</si>
  <si>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</si>
  <si>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</si>
  <si>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</si>
  <si>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</si>
  <si>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</si>
  <si>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</si>
  <si>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</si>
  <si>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</si>
  <si>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</si>
  <si>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</si>
  <si>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</si>
  <si>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</si>
  <si>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</si>
  <si>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</si>
  <si>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</si>
  <si>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</si>
  <si>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</si>
  <si>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</si>
  <si>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</si>
  <si>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</si>
  <si>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</si>
  <si>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</si>
  <si>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</si>
  <si>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</si>
  <si>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</si>
  <si>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</si>
  <si>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</si>
  <si>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</si>
  <si>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</si>
  <si>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</si>
  <si>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</si>
  <si>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</si>
  <si>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</si>
  <si>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</si>
  <si>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</si>
  <si>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</si>
  <si>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</si>
  <si>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</si>
  <si>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</si>
  <si>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</si>
  <si>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</si>
  <si>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</si>
  <si>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</si>
  <si>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</si>
  <si>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</si>
  <si>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</si>
  <si>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</si>
  <si>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</si>
  <si>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</si>
  <si>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</si>
  <si>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</si>
  <si>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</si>
  <si>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</si>
  <si>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</si>
  <si>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</si>
  <si>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</si>
  <si>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</si>
  <si>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</si>
  <si>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</si>
  <si>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</si>
  <si>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</si>
  <si>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</si>
  <si>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</si>
  <si>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</si>
  <si>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</si>
  <si>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</si>
  <si>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</si>
  <si>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</si>
  <si>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</si>
  <si>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</si>
  <si>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</si>
  <si>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</si>
  <si>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</si>
  <si>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</si>
  <si>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</si>
  <si>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</si>
  <si>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</si>
  <si>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</si>
  <si>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</si>
  <si>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</si>
  <si>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</si>
  <si>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</si>
  <si>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</si>
  <si>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</si>
  <si>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</si>
  <si>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</si>
  <si>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</si>
  <si>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</si>
  <si>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</si>
  <si>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</si>
  <si>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</si>
  <si>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</si>
  <si>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</si>
  <si>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</si>
  <si>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</si>
  <si>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</si>
  <si>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</si>
  <si>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</si>
  <si>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</si>
  <si>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</si>
  <si>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</si>
  <si>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</si>
  <si>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</si>
  <si>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</si>
  <si>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</si>
  <si>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</si>
  <si>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</si>
  <si>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</si>
  <si>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</si>
  <si>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</si>
  <si>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</si>
  <si>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</si>
  <si>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</si>
  <si>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</si>
  <si>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</si>
  <si>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</si>
  <si>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</si>
  <si>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</si>
  <si>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</si>
  <si>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</si>
  <si>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</si>
  <si>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</si>
  <si>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</si>
  <si>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</si>
  <si>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</si>
  <si>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</si>
  <si>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</si>
  <si>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</si>
  <si>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</si>
  <si>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</si>
  <si>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</si>
  <si>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</si>
  <si>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</si>
  <si>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</si>
  <si>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</si>
  <si>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</si>
  <si>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</si>
  <si>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</si>
  <si>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</si>
  <si>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</si>
  <si>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</si>
  <si>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</si>
  <si>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</si>
  <si>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</si>
  <si>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</si>
  <si>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</si>
  <si>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</si>
  <si>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</si>
  <si>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</si>
  <si>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</si>
  <si>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</si>
  <si>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</si>
  <si>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</si>
  <si>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</si>
  <si>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</si>
  <si>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</si>
  <si>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</si>
  <si>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</si>
  <si>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</si>
  <si>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</si>
  <si>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</si>
  <si>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</si>
  <si>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</si>
  <si>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</si>
  <si>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</si>
  <si>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</si>
  <si>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</si>
  <si>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</si>
  <si>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</si>
  <si>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</si>
  <si>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</si>
  <si>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</si>
  <si>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</si>
  <si>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</si>
  <si>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</si>
  <si>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</si>
  <si>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</si>
  <si>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</si>
  <si>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</si>
  <si>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</si>
  <si>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</si>
  <si>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</si>
  <si>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</si>
  <si>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</si>
  <si>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</si>
  <si>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</si>
  <si>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</si>
  <si>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</si>
  <si>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</si>
  <si>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</si>
  <si>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</si>
  <si>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</si>
  <si>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</si>
  <si>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</si>
  <si>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</si>
  <si>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</si>
  <si>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</si>
  <si>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</si>
  <si>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</si>
  <si>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</si>
  <si>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</si>
  <si>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</si>
  <si>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</si>
  <si>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</si>
  <si>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</si>
  <si>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</si>
  <si>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</si>
  <si>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</si>
  <si>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</si>
  <si>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</si>
  <si>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</si>
  <si>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</si>
  <si>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</si>
  <si>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</si>
  <si>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</si>
  <si>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</si>
  <si>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</si>
  <si>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</si>
  <si>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</si>
  <si>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</si>
  <si>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</si>
  <si>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</si>
  <si>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</si>
  <si>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</si>
  <si>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</si>
  <si>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</si>
  <si>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</si>
  <si>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</si>
  <si>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</si>
  <si>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</si>
  <si>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</si>
  <si>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</si>
  <si>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</si>
  <si>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</si>
  <si>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</si>
  <si>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</si>
  <si>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</si>
  <si>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</si>
  <si>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</si>
  <si>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</si>
  <si>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</si>
  <si>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</si>
  <si>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</si>
  <si>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</si>
  <si>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</si>
  <si>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</si>
  <si>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</si>
  <si>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</si>
  <si>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</si>
  <si>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</si>
  <si>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</si>
  <si>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</si>
  <si>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</si>
  <si>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</si>
  <si>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</si>
  <si>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</si>
  <si>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</si>
  <si>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</si>
  <si>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</si>
  <si>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</si>
  <si>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</si>
  <si>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</si>
  <si>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</si>
  <si>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</si>
  <si>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</si>
  <si>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</si>
  <si>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</si>
  <si>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</si>
  <si>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</si>
  <si>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</si>
  <si>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</si>
  <si>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</si>
  <si>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</si>
  <si>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</si>
  <si>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</si>
  <si>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</si>
  <si>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</si>
  <si>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</si>
  <si>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</si>
  <si>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</si>
  <si>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</si>
  <si>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</si>
  <si>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</si>
  <si>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</si>
  <si>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</si>
  <si>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</si>
  <si>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</si>
  <si>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</si>
  <si>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</si>
  <si>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</si>
  <si>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</si>
  <si>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</si>
  <si>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</si>
  <si>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</si>
  <si>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</si>
  <si>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</si>
  <si>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</si>
  <si>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</si>
  <si>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</si>
  <si>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</si>
  <si>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</si>
  <si>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</si>
  <si>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</si>
  <si>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</si>
  <si>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</si>
  <si>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</si>
  <si>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</si>
  <si>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</si>
  <si>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</si>
  <si>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</si>
  <si>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</si>
  <si>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</si>
  <si>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</si>
  <si>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</si>
  <si>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</si>
  <si>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</si>
  <si>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</si>
  <si>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</si>
  <si>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</si>
  <si>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</si>
  <si>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</si>
  <si>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</si>
  <si>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</si>
  <si>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</si>
  <si>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</si>
  <si>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</si>
  <si>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</si>
  <si>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</si>
  <si>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</si>
  <si>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</si>
  <si>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</si>
  <si>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</si>
  <si>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</si>
  <si>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</si>
  <si>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</si>
  <si>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</si>
  <si>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</si>
  <si>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</si>
  <si>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</si>
  <si>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</si>
  <si>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</si>
  <si>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</si>
  <si>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</si>
  <si>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</si>
  <si>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</si>
  <si>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</si>
  <si>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</si>
  <si>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</si>
  <si>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</si>
  <si>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</si>
  <si>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</si>
  <si>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</si>
  <si>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</si>
  <si>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</si>
  <si>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</si>
  <si>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</si>
  <si>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</si>
  <si>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</si>
  <si>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</si>
  <si>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</si>
  <si>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</si>
  <si>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</si>
  <si>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</si>
  <si>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</si>
  <si>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</si>
  <si>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</si>
  <si>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</si>
  <si>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</si>
  <si>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</si>
  <si>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</si>
  <si>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</si>
  <si>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</si>
  <si>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</si>
  <si>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</si>
  <si>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</si>
  <si>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</si>
  <si>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</si>
  <si>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</si>
  <si>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</si>
  <si>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</si>
  <si>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</si>
  <si>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</si>
  <si>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</si>
  <si>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</si>
  <si>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</si>
  <si>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</si>
  <si>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</si>
  <si>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</si>
  <si>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</si>
  <si>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</si>
  <si>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</si>
  <si>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</si>
  <si>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</si>
  <si>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</si>
  <si>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</si>
  <si>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</si>
  <si>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</si>
  <si>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</si>
  <si>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</si>
  <si>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</si>
  <si>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</si>
  <si>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</si>
  <si>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</si>
  <si>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</si>
  <si>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</si>
  <si>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</si>
  <si>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</si>
  <si>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</si>
  <si>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</si>
  <si>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</si>
  <si>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</si>
  <si>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</si>
  <si>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</si>
  <si>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</si>
  <si>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</si>
  <si>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</si>
  <si>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</si>
  <si>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</si>
  <si>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</si>
  <si>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</si>
  <si>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</si>
  <si>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</si>
  <si>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</si>
  <si>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</si>
  <si>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</si>
  <si>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</si>
  <si>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</si>
  <si>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</si>
  <si>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</si>
  <si>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</si>
  <si>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</si>
  <si>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</si>
  <si>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</si>
  <si>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</si>
  <si>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</si>
  <si>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</si>
  <si>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</si>
  <si>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</si>
  <si>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</si>
  <si>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</si>
  <si>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</si>
  <si>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</si>
  <si>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</si>
  <si>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</si>
  <si>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</si>
  <si>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</si>
  <si>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</si>
  <si>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</si>
  <si>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</si>
  <si>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</si>
  <si>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</si>
  <si>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</si>
  <si>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</si>
  <si>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</si>
  <si>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</si>
  <si>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</si>
  <si>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</si>
  <si>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</si>
  <si>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</si>
  <si>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</si>
  <si>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</si>
  <si>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</si>
  <si>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</si>
  <si>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</si>
  <si>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</si>
  <si>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</si>
  <si>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</si>
  <si>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</si>
  <si>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</si>
  <si>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</si>
  <si>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</si>
  <si>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</si>
  <si>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</si>
  <si>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</si>
  <si>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</si>
  <si>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</si>
  <si>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</si>
  <si>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</si>
  <si>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</si>
  <si>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</si>
  <si>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</si>
  <si>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</si>
  <si>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</si>
  <si>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</si>
  <si>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</si>
  <si>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</si>
  <si>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</si>
  <si>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</si>
  <si>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</si>
  <si>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</si>
  <si>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</si>
  <si>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</si>
  <si>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</si>
  <si>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</si>
  <si>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</si>
  <si>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</si>
  <si>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</si>
  <si>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</si>
  <si>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</si>
  <si>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</si>
  <si>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</si>
  <si>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</si>
  <si>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</si>
  <si>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</si>
  <si>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</si>
  <si>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</si>
  <si>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</si>
  <si>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</si>
  <si>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</si>
  <si>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</si>
  <si>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</si>
  <si>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</si>
  <si>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</si>
  <si>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</si>
  <si>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</si>
  <si>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</si>
  <si>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</si>
  <si>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</si>
  <si>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</si>
  <si>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</si>
  <si>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</si>
  <si>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</si>
  <si>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</si>
  <si>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</si>
  <si>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</si>
  <si>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</si>
  <si>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</si>
  <si>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</si>
  <si>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</si>
  <si>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</si>
  <si>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</si>
  <si>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</si>
  <si>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</si>
  <si>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</si>
  <si>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</si>
  <si>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</si>
  <si>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</si>
  <si>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</si>
  <si>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</si>
  <si>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</si>
  <si>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</si>
  <si>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</si>
  <si>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</si>
  <si>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</si>
  <si>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</si>
  <si>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</si>
  <si>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</si>
  <si>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</si>
  <si>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</si>
  <si>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</si>
  <si>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</si>
  <si>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</si>
  <si>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</si>
  <si>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</si>
  <si>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</si>
  <si>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</si>
  <si>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</si>
  <si>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</si>
  <si>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</si>
  <si>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</si>
  <si>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</si>
  <si>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</si>
  <si>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</si>
  <si>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</si>
  <si>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</si>
  <si>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</si>
  <si>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</si>
  <si>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</si>
  <si>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</si>
  <si>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</si>
  <si>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</si>
  <si>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</si>
  <si>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</si>
  <si>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</si>
  <si>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</si>
  <si>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</si>
  <si>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</si>
  <si>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</si>
  <si>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</si>
  <si>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</si>
  <si>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</si>
  <si>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</si>
  <si>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</si>
  <si>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</si>
  <si>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</si>
  <si>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</si>
  <si>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</si>
  <si>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</si>
  <si>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</si>
  <si>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</si>
  <si>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</si>
  <si>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</si>
  <si>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</si>
  <si>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</si>
  <si>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</si>
  <si>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</si>
  <si>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</si>
  <si>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</si>
  <si>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</si>
  <si>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</si>
  <si>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</si>
  <si>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</si>
  <si>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</si>
  <si>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</si>
  <si>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</si>
  <si>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</si>
  <si>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</si>
  <si>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</si>
  <si>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</si>
  <si>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</si>
  <si>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</si>
  <si>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</si>
  <si>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</si>
  <si>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</si>
  <si>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</si>
  <si>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</si>
  <si>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</si>
  <si>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</si>
  <si>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</si>
  <si>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</si>
  <si>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</si>
  <si>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</si>
  <si>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</si>
  <si>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</si>
  <si>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</si>
  <si>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</si>
  <si>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</si>
  <si>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</si>
  <si>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</si>
  <si>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</si>
  <si>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</si>
  <si>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</si>
  <si>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</si>
  <si>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</si>
  <si>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</si>
  <si>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</si>
  <si>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</si>
  <si>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</si>
  <si>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</si>
  <si>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</si>
  <si>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</si>
  <si>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</si>
  <si>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</si>
  <si>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</si>
  <si>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</si>
  <si>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</si>
  <si>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</si>
  <si>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</si>
  <si>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</si>
  <si>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</si>
  <si>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</si>
  <si>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</si>
  <si>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</si>
  <si>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</si>
  <si>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</si>
  <si>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</si>
  <si>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</si>
  <si>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</si>
  <si>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</si>
  <si>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</si>
  <si>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</si>
  <si>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</si>
  <si>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</si>
  <si>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</si>
  <si>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</si>
  <si>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</si>
  <si>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</si>
  <si>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</si>
  <si>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</si>
  <si>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</si>
  <si>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</si>
  <si>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</si>
  <si>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</si>
  <si>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</si>
  <si>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</si>
  <si>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</si>
  <si>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</si>
  <si>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</si>
  <si>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</si>
  <si>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</si>
  <si>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</si>
  <si>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</si>
  <si>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</si>
  <si>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</si>
  <si>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</si>
  <si>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</si>
  <si>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</si>
  <si>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</si>
  <si>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</si>
  <si>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</si>
  <si>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</si>
  <si>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</si>
  <si>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</si>
  <si>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</si>
  <si>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</si>
  <si>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</si>
  <si>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</si>
  <si>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</si>
  <si>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</si>
  <si>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</si>
  <si>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</si>
  <si>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</si>
  <si>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</si>
  <si>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</si>
  <si>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</si>
  <si>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</si>
  <si>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</si>
  <si>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</si>
  <si>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</si>
  <si>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</si>
  <si>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</si>
  <si>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</si>
  <si>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</si>
  <si>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</si>
  <si>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</si>
  <si>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</si>
  <si>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</si>
  <si>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</si>
  <si>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</si>
  <si>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</si>
  <si>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</si>
  <si>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</si>
  <si>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</si>
  <si>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</si>
  <si>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</si>
  <si>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</si>
  <si>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</si>
  <si>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</si>
  <si>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</si>
  <si>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</si>
  <si>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</si>
  <si>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</si>
  <si>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</si>
  <si>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</si>
  <si>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</si>
  <si>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</si>
  <si>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</si>
  <si>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</si>
  <si>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</si>
  <si>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</si>
  <si>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</si>
  <si>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</si>
  <si>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</si>
  <si>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</si>
  <si>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</si>
  <si>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</si>
  <si>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</si>
  <si>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</si>
  <si>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</si>
  <si>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</si>
  <si>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</si>
  <si>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</si>
  <si>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</si>
  <si>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</si>
  <si>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</si>
  <si>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</si>
  <si>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</si>
  <si>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</si>
  <si>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</si>
  <si>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</si>
  <si>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</si>
  <si>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</si>
  <si>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</si>
  <si>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</si>
  <si>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</si>
  <si>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</si>
  <si>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</si>
  <si>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</si>
  <si>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</si>
  <si>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</si>
  <si>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</si>
  <si>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</si>
  <si>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</si>
  <si>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</si>
  <si>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</si>
  <si>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</si>
  <si>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</si>
  <si>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</si>
  <si>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</si>
  <si>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</si>
  <si>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</si>
  <si>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</si>
  <si>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</si>
  <si>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</si>
  <si>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</si>
  <si>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</si>
  <si>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</si>
  <si>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</si>
  <si>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</si>
  <si>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</si>
  <si>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</si>
  <si>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</si>
  <si>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</si>
  <si>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</si>
  <si>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</si>
  <si>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</si>
  <si>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</si>
  <si>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</si>
  <si>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</si>
  <si>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</si>
  <si>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</si>
  <si>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</si>
  <si>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</si>
  <si>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</si>
  <si>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</si>
  <si>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</si>
  <si>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</si>
  <si>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</si>
  <si>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</si>
  <si>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</si>
  <si>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</si>
  <si>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</si>
  <si>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</si>
  <si>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</si>
  <si>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</si>
  <si>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</si>
  <si>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</si>
  <si>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</si>
  <si>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</si>
  <si>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</si>
  <si>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</si>
  <si>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</si>
  <si>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</si>
  <si>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</si>
  <si>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</si>
  <si>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</si>
  <si>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</si>
  <si>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</si>
  <si>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</si>
  <si>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</si>
  <si>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</si>
  <si>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</si>
  <si>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</si>
  <si>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</si>
  <si>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</si>
  <si>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</si>
  <si>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</si>
  <si>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</si>
  <si>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</si>
  <si>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</si>
  <si>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</si>
  <si>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</si>
  <si>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</si>
  <si>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</si>
  <si>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</si>
  <si>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</si>
  <si>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</si>
  <si>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</si>
  <si>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</si>
  <si>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</si>
  <si>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</si>
  <si>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</si>
  <si>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</si>
  <si>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</si>
  <si>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</si>
  <si>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</si>
  <si>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</si>
  <si>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</si>
  <si>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</si>
  <si>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</si>
  <si>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</si>
  <si>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</si>
  <si>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</si>
  <si>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</si>
  <si>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</si>
  <si>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</si>
  <si>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</si>
  <si>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</si>
  <si>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</si>
  <si>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</si>
  <si>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</si>
  <si>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</si>
  <si>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</si>
  <si>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</si>
  <si>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</si>
  <si>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</si>
  <si>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</si>
  <si>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</si>
  <si>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</si>
  <si>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</si>
  <si>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</si>
  <si>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</si>
  <si>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</si>
  <si>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</si>
  <si>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</si>
  <si>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</si>
  <si>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</si>
  <si>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</si>
  <si>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</si>
  <si>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</si>
  <si>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</si>
  <si>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</si>
  <si>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</si>
  <si>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</si>
  <si>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</si>
  <si>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</si>
  <si>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</si>
  <si>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</si>
  <si>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</si>
  <si>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</si>
  <si>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</si>
  <si>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</si>
  <si>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</si>
  <si>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</si>
  <si>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</si>
  <si>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</si>
  <si>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</si>
  <si>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</si>
  <si>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</si>
  <si>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</si>
  <si>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</si>
  <si>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</si>
  <si>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</si>
  <si>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</si>
  <si>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</si>
  <si>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</si>
  <si>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</si>
  <si>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</si>
  <si>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</si>
  <si>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</si>
  <si>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</si>
  <si>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</si>
  <si>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</si>
  <si>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</si>
  <si>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</si>
  <si>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</si>
  <si>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</si>
  <si>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</si>
  <si>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</si>
  <si>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</si>
  <si>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</si>
  <si>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</si>
  <si>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</si>
  <si>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</si>
  <si>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</si>
  <si>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</si>
  <si>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</si>
  <si>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</si>
  <si>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</si>
  <si>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</si>
  <si>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</si>
  <si>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</si>
  <si>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</si>
  <si>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</si>
  <si>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</si>
  <si>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</si>
  <si>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</si>
  <si>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</si>
  <si>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</si>
  <si>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</si>
  <si>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</si>
  <si>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</si>
  <si>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</si>
  <si>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</si>
  <si>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</si>
  <si>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</si>
  <si>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</si>
  <si>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</si>
  <si>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</si>
  <si>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</si>
  <si>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</si>
  <si>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</si>
  <si>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</si>
  <si>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</si>
  <si>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</si>
  <si>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</si>
  <si>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</si>
  <si>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</si>
  <si>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</si>
  <si>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</si>
  <si>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</si>
  <si>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</si>
  <si>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</si>
  <si>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</si>
  <si>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</si>
  <si>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</si>
  <si>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</si>
  <si>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</si>
  <si>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</si>
  <si>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</si>
  <si>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</si>
  <si>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</si>
  <si>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</si>
  <si>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</si>
  <si>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</si>
  <si>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</si>
  <si>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</si>
  <si>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</si>
  <si>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</si>
  <si>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</si>
  <si>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</si>
  <si>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</si>
  <si>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</si>
  <si>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</si>
  <si>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</si>
  <si>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</si>
  <si>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</si>
  <si>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</si>
  <si>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</si>
  <si>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</si>
  <si>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</si>
  <si>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</si>
  <si>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</si>
  <si>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</si>
  <si>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</si>
  <si>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</si>
  <si>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</si>
  <si>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</si>
  <si>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</si>
  <si>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</si>
  <si>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</si>
  <si>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</si>
  <si>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</si>
  <si>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</si>
  <si>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</si>
  <si>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</si>
  <si>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</si>
  <si>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</si>
  <si>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</si>
  <si>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</si>
  <si>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</si>
  <si>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</si>
  <si>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</si>
  <si>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</si>
  <si>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</si>
  <si>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</si>
  <si>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</si>
  <si>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</si>
  <si>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</si>
  <si>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</si>
  <si>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</si>
  <si>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</si>
  <si>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</si>
  <si>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</si>
  <si>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</si>
  <si>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</si>
  <si>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</si>
  <si>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</si>
  <si>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</si>
  <si>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</si>
  <si>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</si>
  <si>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</si>
  <si>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</si>
  <si>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</si>
  <si>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</si>
  <si>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</si>
  <si>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</si>
  <si>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</si>
  <si>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</si>
  <si>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</si>
  <si>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</si>
  <si>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</si>
  <si>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</si>
  <si>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</si>
  <si>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</si>
  <si>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</si>
  <si>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</si>
  <si>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</si>
  <si>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</si>
  <si>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</si>
  <si>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</si>
  <si>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</si>
  <si>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</si>
  <si>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</si>
  <si>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</si>
  <si>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</si>
  <si>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</si>
  <si>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</si>
  <si>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</si>
  <si>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</si>
  <si>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</si>
  <si>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</si>
  <si>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</si>
  <si>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</si>
  <si>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</si>
  <si>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</si>
  <si>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</si>
  <si>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</si>
  <si>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</si>
  <si>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</si>
  <si>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</si>
  <si>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</si>
  <si>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</si>
  <si>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</si>
  <si>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</si>
  <si>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</si>
  <si>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</si>
  <si>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</si>
  <si>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</si>
  <si>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</si>
  <si>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</si>
  <si>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</si>
  <si>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</si>
  <si>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</si>
  <si>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</si>
  <si>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</si>
  <si>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</si>
  <si>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</si>
  <si>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</si>
  <si>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</si>
  <si>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</si>
  <si>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</si>
  <si>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</si>
  <si>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</si>
  <si>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</si>
  <si>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</si>
  <si>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</si>
  <si>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</si>
  <si>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</si>
  <si>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</si>
  <si>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</si>
  <si>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</si>
  <si>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</si>
  <si>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</si>
  <si>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</si>
  <si>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</si>
  <si>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</si>
  <si>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</si>
  <si>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</si>
  <si>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</si>
  <si>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</si>
  <si>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</si>
  <si>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</si>
  <si>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</si>
  <si>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</si>
  <si>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</si>
  <si>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</si>
  <si>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</si>
  <si>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</si>
  <si>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</si>
  <si>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</si>
  <si>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</si>
  <si>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</si>
  <si>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</si>
  <si>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</si>
  <si>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</si>
  <si>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</si>
  <si>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</si>
  <si>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</si>
  <si>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</si>
  <si>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</si>
  <si>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</si>
  <si>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</si>
  <si>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</si>
  <si>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</si>
  <si>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</si>
  <si>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</si>
  <si>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</si>
  <si>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</si>
  <si>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</si>
  <si>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</si>
  <si>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</si>
  <si>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</si>
  <si>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</si>
  <si>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</si>
  <si>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</si>
  <si>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</si>
  <si>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</si>
  <si>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</si>
  <si>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</si>
  <si>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</si>
  <si>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</si>
  <si>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</si>
  <si>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</si>
  <si>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</si>
  <si>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</si>
  <si>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</si>
  <si>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</si>
  <si>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</si>
  <si>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</si>
  <si>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</si>
  <si>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</si>
  <si>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</si>
  <si>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</si>
  <si>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</si>
  <si>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</si>
  <si>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</si>
  <si>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</si>
  <si>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</si>
  <si>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</si>
  <si>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</si>
  <si>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</si>
  <si>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</si>
  <si>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</si>
  <si>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</si>
  <si>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</si>
  <si>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</si>
  <si>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</si>
  <si>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</si>
  <si>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</si>
  <si>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</si>
  <si>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</si>
  <si>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</si>
  <si>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</si>
  <si>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</si>
  <si>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</si>
  <si>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</si>
  <si>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</si>
  <si>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</si>
  <si>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</si>
  <si>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</si>
  <si>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</si>
  <si>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</si>
  <si>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</si>
  <si>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</si>
  <si>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</si>
  <si>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</si>
  <si>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</si>
  <si>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</si>
  <si>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</si>
  <si>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</si>
  <si>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</si>
  <si>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</si>
  <si>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</si>
  <si>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</si>
  <si>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</si>
  <si>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</si>
  <si>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</si>
  <si>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</si>
  <si>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</si>
  <si>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</si>
  <si>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</si>
  <si>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</si>
  <si>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</si>
  <si>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</si>
  <si>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</si>
  <si>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</si>
  <si>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</si>
  <si>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</si>
  <si>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</si>
  <si>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</si>
  <si>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</si>
  <si>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</si>
  <si>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</si>
  <si>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</si>
  <si>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</si>
  <si>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</si>
  <si>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</si>
  <si>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</si>
  <si>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</si>
  <si>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</si>
  <si>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</si>
  <si>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</si>
  <si>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</si>
  <si>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</si>
  <si>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</si>
  <si>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</si>
  <si>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</si>
  <si>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</si>
  <si>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</si>
  <si>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</si>
  <si>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</si>
  <si>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</si>
  <si>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</si>
  <si>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</si>
  <si>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</si>
  <si>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</si>
  <si>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</si>
  <si>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</si>
  <si>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</si>
  <si>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</si>
  <si>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</si>
  <si>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</si>
  <si>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</si>
  <si>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</si>
  <si>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</si>
  <si>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</si>
  <si>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</si>
  <si>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</si>
  <si>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</si>
  <si>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</si>
  <si>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</si>
  <si>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</si>
  <si>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</si>
  <si>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</si>
  <si>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</si>
  <si>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</si>
  <si>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</si>
  <si>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</si>
  <si>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</si>
  <si>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</si>
  <si>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</si>
  <si>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</si>
  <si>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</si>
  <si>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</si>
  <si>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</si>
  <si>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</si>
  <si>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</si>
  <si>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</si>
  <si>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</si>
  <si>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</si>
  <si>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</si>
  <si>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</si>
  <si>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</si>
  <si>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</si>
  <si>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</si>
  <si>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</si>
  <si>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</si>
  <si>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</si>
  <si>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</si>
  <si>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</si>
  <si>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</si>
  <si>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</si>
  <si>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</si>
  <si>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</si>
  <si>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</si>
  <si>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</si>
  <si>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</si>
  <si>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</si>
  <si>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</si>
  <si>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</si>
  <si>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</si>
  <si>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</si>
  <si>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</si>
  <si>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</si>
  <si>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</si>
  <si>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</si>
  <si>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</si>
  <si>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</si>
  <si>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</si>
  <si>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</si>
  <si>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</si>
  <si>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</si>
  <si>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</si>
  <si>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</si>
  <si>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</si>
  <si>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</si>
  <si>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</si>
  <si>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</si>
  <si>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</si>
  <si>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</si>
  <si>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</si>
  <si>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</si>
  <si>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</si>
  <si>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</si>
  <si>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</si>
  <si>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</si>
  <si>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</si>
  <si>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</si>
  <si>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</si>
  <si>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</si>
  <si>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</si>
  <si>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</si>
  <si>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</si>
  <si>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</si>
  <si>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</si>
  <si>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</si>
  <si>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</si>
  <si>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</si>
  <si>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</si>
  <si>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</si>
  <si>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</si>
  <si>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</si>
  <si>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</si>
  <si>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</si>
  <si>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</si>
  <si>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</si>
  <si>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</si>
  <si>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</si>
  <si>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</si>
  <si>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</si>
  <si>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</si>
  <si>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</si>
  <si>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</si>
  <si>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</si>
  <si>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</si>
  <si>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</si>
  <si>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</si>
  <si>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</si>
  <si>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</si>
  <si>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</si>
  <si>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</si>
  <si>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</si>
  <si>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</si>
  <si>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</si>
  <si>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</si>
  <si>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</si>
  <si>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</si>
  <si>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</si>
  <si>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</si>
  <si>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</si>
  <si>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</si>
  <si>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</si>
  <si>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</si>
  <si>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</si>
  <si>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</si>
  <si>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</si>
  <si>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</si>
  <si>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</si>
  <si>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</si>
  <si>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</si>
  <si>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</si>
  <si>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</si>
  <si>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</si>
  <si>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</si>
  <si>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</si>
  <si>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</si>
  <si>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</si>
  <si>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</si>
  <si>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</si>
  <si>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</si>
  <si>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</si>
  <si>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</si>
  <si>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</si>
  <si>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</si>
  <si>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</si>
  <si>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</si>
  <si>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</si>
  <si>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</si>
  <si>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</si>
  <si>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</si>
  <si>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</si>
  <si>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</si>
  <si>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</si>
  <si>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</si>
  <si>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</si>
  <si>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</si>
  <si>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</si>
  <si>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</si>
  <si>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</si>
  <si>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</si>
  <si>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</si>
  <si>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</si>
  <si>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</si>
  <si>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</si>
  <si>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</si>
  <si>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</si>
  <si>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</si>
  <si>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</si>
  <si>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</si>
  <si>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</si>
  <si>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</si>
  <si>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</si>
  <si>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</si>
  <si>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</si>
  <si>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</si>
  <si>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</si>
  <si>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</si>
  <si>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</si>
  <si>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</si>
  <si>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</si>
  <si>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</si>
  <si>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</si>
  <si>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</si>
  <si>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</si>
  <si>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</si>
  <si>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</si>
  <si>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</si>
  <si>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</si>
  <si>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</si>
  <si>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</si>
  <si>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</si>
  <si>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</si>
  <si>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</si>
  <si>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</si>
  <si>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</si>
  <si>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</si>
  <si>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</si>
  <si>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</si>
  <si>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</si>
  <si>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</si>
  <si>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</si>
  <si>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</si>
  <si>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</si>
  <si>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</si>
  <si>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</si>
  <si>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</si>
  <si>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</si>
  <si>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</si>
  <si>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</si>
  <si>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</si>
  <si>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</si>
  <si>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</si>
  <si>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</si>
  <si>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</si>
  <si>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</si>
  <si>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</si>
  <si>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</si>
  <si>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</si>
  <si>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</si>
  <si>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</si>
  <si>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</si>
  <si>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</si>
  <si>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</si>
  <si>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</si>
  <si>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</si>
  <si>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</si>
  <si>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</si>
  <si>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</si>
  <si>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</si>
  <si>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</si>
  <si>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</si>
  <si>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</si>
  <si>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</si>
  <si>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</si>
  <si>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</si>
  <si>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</si>
  <si>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</si>
  <si>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</si>
  <si>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</si>
  <si>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</si>
  <si>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</si>
  <si>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</si>
  <si>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</si>
  <si>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</si>
  <si>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</si>
  <si>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</si>
  <si>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</si>
  <si>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</si>
  <si>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</si>
  <si>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</si>
  <si>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</si>
  <si>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</si>
  <si>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</si>
  <si>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</si>
  <si>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</si>
  <si>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</si>
  <si>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</si>
  <si>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</si>
  <si>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</si>
  <si>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</si>
  <si>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</si>
  <si>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</si>
  <si>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</si>
  <si>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</si>
  <si>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</si>
  <si>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</si>
  <si>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</si>
  <si>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</si>
  <si>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</si>
  <si>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</si>
  <si>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</si>
  <si>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</si>
  <si>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</si>
  <si>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</si>
  <si>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</si>
  <si>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</si>
  <si>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</si>
  <si>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</si>
  <si>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</si>
  <si>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</si>
  <si>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</si>
  <si>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</si>
  <si>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</si>
  <si>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</si>
  <si>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</si>
  <si>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</si>
  <si>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</si>
  <si>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</si>
  <si>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</si>
  <si>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</si>
  <si>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</si>
  <si>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</si>
  <si>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</si>
  <si>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</si>
  <si>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</si>
  <si>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</si>
  <si>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</si>
  <si>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</si>
  <si>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</si>
  <si>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</si>
  <si>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</si>
  <si>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</si>
  <si>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</si>
  <si>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</si>
  <si>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</si>
  <si>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</si>
  <si>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</si>
  <si>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</si>
  <si>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</si>
  <si>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</si>
  <si>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</si>
  <si>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</si>
  <si>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</si>
  <si>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</si>
  <si>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</si>
  <si>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</si>
  <si>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</si>
  <si>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</si>
  <si>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</si>
  <si>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</si>
  <si>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</si>
  <si>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</si>
  <si>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</si>
  <si>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</si>
  <si>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</si>
  <si>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</si>
  <si>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</si>
  <si>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</si>
  <si>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</si>
  <si>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</si>
  <si>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</si>
  <si>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</si>
  <si>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</si>
  <si>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</si>
  <si>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</si>
  <si>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</si>
  <si>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</si>
  <si>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</si>
  <si>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</si>
  <si>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</si>
  <si>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</si>
  <si>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</si>
  <si>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</si>
  <si>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</si>
  <si>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</si>
  <si>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</si>
  <si>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</si>
  <si>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</si>
  <si>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</si>
  <si>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</si>
  <si>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</si>
  <si>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</si>
  <si>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</si>
  <si>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</si>
  <si>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</si>
  <si>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</si>
  <si>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</si>
  <si>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</si>
  <si>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</si>
  <si>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</si>
  <si>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</si>
  <si>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</si>
  <si>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</si>
  <si>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</si>
  <si>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</si>
  <si>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</si>
  <si>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</si>
  <si>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</si>
  <si>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</si>
  <si>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</si>
  <si>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</si>
  <si>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</si>
  <si>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</si>
  <si>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</si>
  <si>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</si>
  <si>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</si>
  <si>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</si>
  <si>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</si>
  <si>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</si>
  <si>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</si>
  <si>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</si>
  <si>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</si>
  <si>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</si>
  <si>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</si>
  <si>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</si>
  <si>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</si>
  <si>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</si>
  <si>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</si>
  <si>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</si>
  <si>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</si>
  <si>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</si>
  <si>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</si>
  <si>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</si>
  <si>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</si>
  <si>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</si>
  <si>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</si>
  <si>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</si>
  <si>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</si>
  <si>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</si>
  <si>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</si>
  <si>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</si>
  <si>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</si>
  <si>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</si>
  <si>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</si>
  <si>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</si>
  <si>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</si>
  <si>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</si>
  <si>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</si>
  <si>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</si>
  <si>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</si>
  <si>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</si>
  <si>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</si>
  <si>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</si>
  <si>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</si>
  <si>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</si>
  <si>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</si>
  <si>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</si>
  <si>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</si>
  <si>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</si>
  <si>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</si>
  <si>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</si>
  <si>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</si>
  <si>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</si>
  <si>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</si>
  <si>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</si>
  <si>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</si>
  <si>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</si>
  <si>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</si>
  <si>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</si>
  <si>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</si>
  <si>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</si>
  <si>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</si>
  <si>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</si>
  <si>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</si>
  <si>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</si>
  <si>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</si>
  <si>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</si>
  <si>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</si>
  <si>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</si>
  <si>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</si>
  <si>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</si>
  <si>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</si>
  <si>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</si>
  <si>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</si>
  <si>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</si>
  <si>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</si>
  <si>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</si>
  <si>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</si>
  <si>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</si>
  <si>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</si>
  <si>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</si>
  <si>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</si>
  <si>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</si>
  <si>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</si>
  <si>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</si>
  <si>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</si>
  <si>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</si>
  <si>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</si>
  <si>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</si>
  <si>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</si>
  <si>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</si>
  <si>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</si>
  <si>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</si>
  <si>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</si>
  <si>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</si>
  <si>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</si>
  <si>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</si>
  <si>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</si>
  <si>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</si>
  <si>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</si>
  <si>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</si>
  <si>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</si>
  <si>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</si>
  <si>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</si>
  <si>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</si>
  <si>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</si>
  <si>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</si>
  <si>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</si>
  <si>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</si>
  <si>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</si>
  <si>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</si>
  <si>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</si>
  <si>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</si>
  <si>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</si>
  <si>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</si>
  <si>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</si>
  <si>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</si>
  <si>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</si>
  <si>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</si>
  <si>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</si>
  <si>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</si>
  <si>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</si>
  <si>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</si>
  <si>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</si>
  <si>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</si>
  <si>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</si>
  <si>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</si>
  <si>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</si>
  <si>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</si>
  <si>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</si>
  <si>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</si>
  <si>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</si>
  <si>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</si>
  <si>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</si>
  <si>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</si>
  <si>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</si>
  <si>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</si>
  <si>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</si>
  <si>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</si>
  <si>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</si>
  <si>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</si>
  <si>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</si>
  <si>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</si>
  <si>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</si>
  <si>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</si>
  <si>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</si>
  <si>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</si>
  <si>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</si>
  <si>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</si>
  <si>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</si>
  <si>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</si>
  <si>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</si>
  <si>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</si>
  <si>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</si>
  <si>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</si>
  <si>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</si>
  <si>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</si>
  <si>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</si>
  <si>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</si>
  <si>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</si>
  <si>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</si>
  <si>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</si>
  <si>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</si>
  <si>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</si>
  <si>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</si>
  <si>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</si>
  <si>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</si>
  <si>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</si>
  <si>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</si>
  <si>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</si>
  <si>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</si>
  <si>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</si>
  <si>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</si>
  <si>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</si>
  <si>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</si>
  <si>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</si>
  <si>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</si>
  <si>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</si>
  <si>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</si>
  <si>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</si>
  <si>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</si>
  <si>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</si>
  <si>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</si>
  <si>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</si>
  <si>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</si>
  <si>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</si>
  <si>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</si>
  <si>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</si>
  <si>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</si>
  <si>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</si>
  <si>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</si>
  <si>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</si>
  <si>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</si>
  <si>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</si>
  <si>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</si>
  <si>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</si>
  <si>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</si>
  <si>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</si>
  <si>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</si>
  <si>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</si>
  <si>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</si>
  <si>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</si>
  <si>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</si>
  <si>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</si>
  <si>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</si>
  <si>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</si>
  <si>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</si>
  <si>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</si>
  <si>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</si>
  <si>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</si>
  <si>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</si>
  <si>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</si>
  <si>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</si>
  <si>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</si>
  <si>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</si>
  <si>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</si>
  <si>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</si>
  <si>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</si>
  <si>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</si>
  <si>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</si>
  <si>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</si>
  <si>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</si>
  <si>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</si>
  <si>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</si>
  <si>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</si>
  <si>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</si>
  <si>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</si>
  <si>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</si>
  <si>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</si>
  <si>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</si>
  <si>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</si>
  <si>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</si>
  <si>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</si>
  <si>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</si>
  <si>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</si>
  <si>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</si>
  <si>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</si>
  <si>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</si>
  <si>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</si>
  <si>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</si>
  <si>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</si>
  <si>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</si>
  <si>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</si>
  <si>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</si>
  <si>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</si>
  <si>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</si>
  <si>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</si>
  <si>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</si>
  <si>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</si>
  <si>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</si>
  <si>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</si>
  <si>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</si>
  <si>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</si>
  <si>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</si>
  <si>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</si>
  <si>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</si>
  <si>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</si>
  <si>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</si>
  <si>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</si>
  <si>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</si>
  <si>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</si>
  <si>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</si>
  <si>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</si>
  <si>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</si>
  <si>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</si>
  <si>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</si>
  <si>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</si>
  <si>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</si>
  <si>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</si>
  <si>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</si>
  <si>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</si>
  <si>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</si>
  <si>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</si>
  <si>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</si>
  <si>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</si>
  <si>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</si>
  <si>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</si>
  <si>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</si>
  <si>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</si>
  <si>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</si>
  <si>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</si>
  <si>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</si>
  <si>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</si>
  <si>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</si>
  <si>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</si>
  <si>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</si>
  <si>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</si>
  <si>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</si>
  <si>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</si>
  <si>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</si>
  <si>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</si>
  <si>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</si>
  <si>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</si>
  <si>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</si>
  <si>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</si>
  <si>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</si>
  <si>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</si>
  <si>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</si>
  <si>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</si>
  <si>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</si>
  <si>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</si>
  <si>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</si>
  <si>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</si>
  <si>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</si>
  <si>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</si>
  <si>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</si>
  <si>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</si>
  <si>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</si>
  <si>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</si>
  <si>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</si>
  <si>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</si>
  <si>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</si>
  <si>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</si>
  <si>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</si>
  <si>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</si>
  <si>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</si>
  <si>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</si>
  <si>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</si>
  <si>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</si>
  <si>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</si>
  <si>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</si>
  <si>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</si>
  <si>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</si>
  <si>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</si>
  <si>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</si>
  <si>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</si>
  <si>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</si>
  <si>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</si>
  <si>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</si>
  <si>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</si>
  <si>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</si>
  <si>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</si>
  <si>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</si>
  <si>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</si>
  <si>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</si>
  <si>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</si>
  <si>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</si>
  <si>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</si>
  <si>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</si>
  <si>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</si>
  <si>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</si>
  <si>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</si>
  <si>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</si>
  <si>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</si>
  <si>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</si>
  <si>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</si>
  <si>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</si>
  <si>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</si>
  <si>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</si>
  <si>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</si>
  <si>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</si>
  <si>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</si>
  <si>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</si>
  <si>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</si>
  <si>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</si>
  <si>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</si>
  <si>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</si>
  <si>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</si>
  <si>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</si>
  <si>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</si>
  <si>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</si>
  <si>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</si>
  <si>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</si>
  <si>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</si>
  <si>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</si>
  <si>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</si>
  <si>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</si>
  <si>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</si>
  <si>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</si>
  <si>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</si>
  <si>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</si>
  <si>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</si>
  <si>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</si>
  <si>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</si>
  <si>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</si>
  <si>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</si>
  <si>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</si>
  <si>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</si>
  <si>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</si>
  <si>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</si>
  <si>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</si>
  <si>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</si>
  <si>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</si>
  <si>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</si>
  <si>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</si>
  <si>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</si>
  <si>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</si>
  <si>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</si>
  <si>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</si>
  <si>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</si>
  <si>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</si>
  <si>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</si>
  <si>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</si>
  <si>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</si>
  <si>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</si>
  <si>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</si>
  <si>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</si>
  <si>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</si>
  <si>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</si>
  <si>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</si>
  <si>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</si>
  <si>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</si>
  <si>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</si>
  <si>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</si>
  <si>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</si>
  <si>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</si>
  <si>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</si>
  <si>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</si>
  <si>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</si>
  <si>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</si>
  <si>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</si>
  <si>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</si>
  <si>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</si>
  <si>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</si>
  <si>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</si>
  <si>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</si>
  <si>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</si>
  <si>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</si>
  <si>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</si>
  <si>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</si>
  <si>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</si>
  <si>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</si>
  <si>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</si>
  <si>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</si>
  <si>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</si>
  <si>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</si>
  <si>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</si>
  <si>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</si>
  <si>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</si>
  <si>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</si>
  <si>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</si>
  <si>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</si>
  <si>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</si>
  <si>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</si>
  <si>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</si>
  <si>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</si>
  <si>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</si>
  <si>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</si>
  <si>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</si>
  <si>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</si>
  <si>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</si>
  <si>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</si>
  <si>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</si>
  <si>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</si>
  <si>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</si>
  <si>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</si>
  <si>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</si>
  <si>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</si>
  <si>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</si>
  <si>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</si>
  <si>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</si>
  <si>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</si>
  <si>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</si>
  <si>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</si>
  <si>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</si>
  <si>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</si>
  <si>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</si>
  <si>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</si>
  <si>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</si>
  <si>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</si>
  <si>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</si>
  <si>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</si>
  <si>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</si>
  <si>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</si>
  <si>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</si>
  <si>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</si>
  <si>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</si>
  <si>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</si>
  <si>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</si>
  <si>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</si>
  <si>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</si>
  <si>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</si>
  <si>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</si>
  <si>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</si>
  <si>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</si>
  <si>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</si>
  <si>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</si>
  <si>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</si>
  <si>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</si>
  <si>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</si>
  <si>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</si>
  <si>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</si>
  <si>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</si>
  <si>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</si>
  <si>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</si>
  <si>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</si>
  <si>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</si>
  <si>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</si>
  <si>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</si>
  <si>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</si>
  <si>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</si>
  <si>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</si>
  <si>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</si>
  <si>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</si>
  <si>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</si>
  <si>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</si>
  <si>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</si>
  <si>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</si>
  <si>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</si>
  <si>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</si>
  <si>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</si>
  <si>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</si>
  <si>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</si>
  <si>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</si>
  <si>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</si>
  <si>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</si>
  <si>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</si>
  <si>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</si>
  <si>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</si>
  <si>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</si>
  <si>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</si>
  <si>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</si>
  <si>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</si>
  <si>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</si>
  <si>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</si>
  <si>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</si>
  <si>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</si>
  <si>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</si>
  <si>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</si>
  <si>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</si>
  <si>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</si>
  <si>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</si>
  <si>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</si>
  <si>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</si>
  <si>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</si>
  <si>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</si>
  <si>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</si>
  <si>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</si>
  <si>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</si>
  <si>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</si>
  <si>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</si>
  <si>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</si>
  <si>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</si>
  <si>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</si>
  <si>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</si>
  <si>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</si>
  <si>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</si>
  <si>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</si>
  <si>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</si>
  <si>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</si>
  <si>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</si>
  <si>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</si>
  <si>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</si>
  <si>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</si>
  <si>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</si>
  <si>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</si>
  <si>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</si>
  <si>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</si>
  <si>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</si>
  <si>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</si>
  <si>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</si>
  <si>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</si>
  <si>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</si>
  <si>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</si>
  <si>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</si>
  <si>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</si>
  <si>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</si>
  <si>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</si>
  <si>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</si>
  <si>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</si>
  <si>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</si>
  <si>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</si>
  <si>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</si>
  <si>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</si>
  <si>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</si>
  <si>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</si>
  <si>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</si>
  <si>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</si>
  <si>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</si>
  <si>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</si>
  <si>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</si>
  <si>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</si>
  <si>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</si>
  <si>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</si>
  <si>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</si>
  <si>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</si>
  <si>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</si>
  <si>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</si>
  <si>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</si>
  <si>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</si>
  <si>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</si>
  <si>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</si>
  <si>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</si>
  <si>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</si>
  <si>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</si>
  <si>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</si>
  <si>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</si>
  <si>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</si>
  <si>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</si>
  <si>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</si>
  <si>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</si>
  <si>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</si>
  <si>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</si>
  <si>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</si>
  <si>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</si>
  <si>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</si>
  <si>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</si>
  <si>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</si>
  <si>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</si>
  <si>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</si>
  <si>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</si>
  <si>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</si>
  <si>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</si>
  <si>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</si>
  <si>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</si>
  <si>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</si>
  <si>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</si>
  <si>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</si>
  <si>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</si>
  <si>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</si>
  <si>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</si>
  <si>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</si>
  <si>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</si>
  <si>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</si>
  <si>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</si>
  <si>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</si>
  <si>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</si>
  <si>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</si>
  <si>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</si>
  <si>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</si>
  <si>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</si>
  <si>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</si>
  <si>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</si>
  <si>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</si>
  <si>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</si>
  <si>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</si>
  <si>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</si>
  <si>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</si>
  <si>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</si>
  <si>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</si>
  <si>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</si>
  <si>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</si>
  <si>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</si>
  <si>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</si>
  <si>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</si>
  <si>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</si>
  <si>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</si>
  <si>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</si>
  <si>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</si>
  <si>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</si>
  <si>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</si>
  <si>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</si>
  <si>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</si>
  <si>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</si>
  <si>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</si>
  <si>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</si>
  <si>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</si>
  <si>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</si>
  <si>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</si>
  <si>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</si>
  <si>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</si>
  <si>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</si>
  <si>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</si>
  <si>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</si>
  <si>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</si>
  <si>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</si>
  <si>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</si>
  <si>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</si>
  <si>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</si>
  <si>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</si>
  <si>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</si>
  <si>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</si>
  <si>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</si>
  <si>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</si>
  <si>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</si>
  <si>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</si>
  <si>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</si>
  <si>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</si>
  <si>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</si>
  <si>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</si>
  <si>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</si>
  <si>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</si>
  <si>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</si>
  <si>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</si>
  <si>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</si>
  <si>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</si>
  <si>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</si>
  <si>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</si>
  <si>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</si>
  <si>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</si>
  <si>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</si>
  <si>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</si>
  <si>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</si>
  <si>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</si>
  <si>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</si>
  <si>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</si>
  <si>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</si>
  <si>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</si>
  <si>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</si>
  <si>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</si>
  <si>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</si>
  <si>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</si>
  <si>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</si>
  <si>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</si>
  <si>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</si>
  <si>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</si>
  <si>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</si>
  <si>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</si>
  <si>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</si>
  <si>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</si>
  <si>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</si>
  <si>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</si>
  <si>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</si>
  <si>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</si>
  <si>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</si>
  <si>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</si>
  <si>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</si>
  <si>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</si>
  <si>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</si>
  <si>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</si>
  <si>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</si>
  <si>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</si>
  <si>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</si>
  <si>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</si>
  <si>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</si>
  <si>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</si>
  <si>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</si>
  <si>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</si>
  <si>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</si>
  <si>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</si>
  <si>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</si>
  <si>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</si>
  <si>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</si>
  <si>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</si>
  <si>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</si>
  <si>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</si>
  <si>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</si>
  <si>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</si>
  <si>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</si>
  <si>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</si>
  <si>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</si>
  <si>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</si>
  <si>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</si>
  <si>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</si>
  <si>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</si>
  <si>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</si>
  <si>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</si>
  <si>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</si>
  <si>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</si>
  <si>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</si>
  <si>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</si>
  <si>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</si>
  <si>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</si>
  <si>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</si>
  <si>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</si>
  <si>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</si>
  <si>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</si>
  <si>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</si>
  <si>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</si>
  <si>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</si>
  <si>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</si>
  <si>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</si>
  <si>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</si>
  <si>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</si>
  <si>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</si>
  <si>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</si>
  <si>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</si>
  <si>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</si>
  <si>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</si>
  <si>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</si>
  <si>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</si>
  <si>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</si>
  <si>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</si>
  <si>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</si>
  <si>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</si>
  <si>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</si>
  <si>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</si>
  <si>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</si>
  <si>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</si>
  <si>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</si>
  <si>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</si>
  <si>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</si>
  <si>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</si>
  <si>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</si>
  <si>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</si>
  <si>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</si>
  <si>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</si>
  <si>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</si>
  <si>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</si>
  <si>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</si>
  <si>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</si>
  <si>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</si>
  <si>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</si>
  <si>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</si>
  <si>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</si>
  <si>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</si>
  <si>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</si>
  <si>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</si>
  <si>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</si>
  <si>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</si>
  <si>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</si>
  <si>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</si>
  <si>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</si>
  <si>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</si>
  <si>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</si>
  <si>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</si>
  <si>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</si>
  <si>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</si>
  <si>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</si>
  <si>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</si>
  <si>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</si>
  <si>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</si>
  <si>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</si>
  <si>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</si>
  <si>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</si>
  <si>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</si>
  <si>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</si>
  <si>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</si>
  <si>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</si>
  <si>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</si>
  <si>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</si>
  <si>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</si>
  <si>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</si>
  <si>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</si>
  <si>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</si>
  <si>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</si>
  <si>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</si>
  <si>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</si>
  <si>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</si>
  <si>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</si>
  <si>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</si>
  <si>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</si>
  <si>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</si>
  <si>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</si>
  <si>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</si>
  <si>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</si>
  <si>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</si>
  <si>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</si>
  <si>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</si>
  <si>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</si>
  <si>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</si>
  <si>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</si>
  <si>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</si>
  <si>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</si>
  <si>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</si>
  <si>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</si>
  <si>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</si>
  <si>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</si>
  <si>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</si>
  <si>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</si>
  <si>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</si>
  <si>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</si>
  <si>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</si>
  <si>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</si>
  <si>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</si>
  <si>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</si>
  <si>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</si>
  <si>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</si>
  <si>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</si>
  <si>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</si>
  <si>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</si>
  <si>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</si>
  <si>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</si>
  <si>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</si>
  <si>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</si>
  <si>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</si>
  <si>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</si>
  <si>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</si>
  <si>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</si>
  <si>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</si>
  <si>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</si>
  <si>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</si>
  <si>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</si>
  <si>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</si>
  <si>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</si>
  <si>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</si>
  <si>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</si>
  <si>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</si>
  <si>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</si>
  <si>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</si>
  <si>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</si>
  <si>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</si>
  <si>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</si>
  <si>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</si>
  <si>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</si>
  <si>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</si>
  <si>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</si>
  <si>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</si>
  <si>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</si>
  <si>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</si>
  <si>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</si>
  <si>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</si>
  <si>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</si>
  <si>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</si>
  <si>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</si>
  <si>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</si>
  <si>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</si>
  <si>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</si>
  <si>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</si>
  <si>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</si>
  <si>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</si>
  <si>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</si>
  <si>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</si>
  <si>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</si>
  <si>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</si>
  <si>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</si>
  <si>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</si>
  <si>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</si>
  <si>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</si>
  <si>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</si>
  <si>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</si>
  <si>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</si>
  <si>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</si>
  <si>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</si>
  <si>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</si>
  <si>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</si>
  <si>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</si>
  <si>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</si>
  <si>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</si>
  <si>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</si>
  <si>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</si>
  <si>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</si>
  <si>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</si>
  <si>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</si>
  <si>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</si>
  <si>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</si>
  <si>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</si>
  <si>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</si>
  <si>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</si>
  <si>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</si>
  <si>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</si>
  <si>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</si>
  <si>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</si>
  <si>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</si>
  <si>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</si>
  <si>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</si>
  <si>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</si>
  <si>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</si>
  <si>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</si>
  <si>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</si>
  <si>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</si>
  <si>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</si>
  <si>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</si>
  <si>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</si>
  <si>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</si>
  <si>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</si>
  <si>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</si>
  <si>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</si>
  <si>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</si>
  <si>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</si>
  <si>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</si>
  <si>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</si>
  <si>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</si>
  <si>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</si>
  <si>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</si>
  <si>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</si>
  <si>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</si>
  <si>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</si>
  <si>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</si>
  <si>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</si>
  <si>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</si>
  <si>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</si>
  <si>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</si>
  <si>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</si>
  <si>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</si>
  <si>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</si>
  <si>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</si>
  <si>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</si>
  <si>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</si>
  <si>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</si>
  <si>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</si>
  <si>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</si>
  <si>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</si>
  <si>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</si>
  <si>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</si>
  <si>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</si>
  <si>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</si>
  <si>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</si>
  <si>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</si>
  <si>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</si>
  <si>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</si>
  <si>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</si>
  <si>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</si>
  <si>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</si>
  <si>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</si>
  <si>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</si>
  <si>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</si>
  <si>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</si>
  <si>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</si>
  <si>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</si>
  <si>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</si>
  <si>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</si>
  <si>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</si>
  <si>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</si>
  <si>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</si>
  <si>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</si>
  <si>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</si>
  <si>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</si>
  <si>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</si>
  <si>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</si>
  <si>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</si>
  <si>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</si>
  <si>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</si>
  <si>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</si>
  <si>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</si>
  <si>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</si>
  <si>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</si>
  <si>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</si>
  <si>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</si>
  <si>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</si>
  <si>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</si>
  <si>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</si>
  <si>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</si>
  <si>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</si>
  <si>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</si>
  <si>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</si>
  <si>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</si>
  <si>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</si>
  <si>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</si>
  <si>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</si>
  <si>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</si>
  <si>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</si>
  <si>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</si>
  <si>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</si>
  <si>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</si>
  <si>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</si>
  <si>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</si>
  <si>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</si>
  <si>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</si>
  <si>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</si>
  <si>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</si>
  <si>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</si>
  <si>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</si>
  <si>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</si>
  <si>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</si>
  <si>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</si>
  <si>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</si>
  <si>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</si>
  <si>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</si>
  <si>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</si>
  <si>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</si>
  <si>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</si>
  <si>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</si>
  <si>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</si>
  <si>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</si>
  <si>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</si>
  <si>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</si>
  <si>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</si>
  <si>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</si>
  <si>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</si>
  <si>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</si>
  <si>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</si>
  <si>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</si>
  <si>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</si>
  <si>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</si>
  <si>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</si>
  <si>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</si>
  <si>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</si>
  <si>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</si>
  <si>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</si>
  <si>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</si>
  <si>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</si>
  <si>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</si>
  <si>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</si>
  <si>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</si>
  <si>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</si>
  <si>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</si>
  <si>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</si>
  <si>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</si>
  <si>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</si>
  <si>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</si>
  <si>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</si>
  <si>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</si>
  <si>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</si>
  <si>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</si>
  <si>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</si>
  <si>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</si>
  <si>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</si>
  <si>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</si>
  <si>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</si>
  <si>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</si>
  <si>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</si>
  <si>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</si>
  <si>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</si>
  <si>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</si>
  <si>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</si>
  <si>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</si>
  <si>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</si>
  <si>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</si>
  <si>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</si>
  <si>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</si>
  <si>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</si>
  <si>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</si>
  <si>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</si>
  <si>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</si>
  <si>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</si>
  <si>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</si>
  <si>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</si>
  <si>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</si>
  <si>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</si>
  <si>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</si>
  <si>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</si>
  <si>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</si>
  <si>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</si>
  <si>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</si>
  <si>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</si>
  <si>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</si>
  <si>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</si>
  <si>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</si>
  <si>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</si>
  <si>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</si>
  <si>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</si>
  <si>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</si>
  <si>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</si>
  <si>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</si>
  <si>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</si>
  <si>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</si>
  <si>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</si>
  <si>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</si>
  <si>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</si>
  <si>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</si>
  <si>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</si>
  <si>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</si>
  <si>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</si>
  <si>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</si>
  <si>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</si>
  <si>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</si>
  <si>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</si>
  <si>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</si>
  <si>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</si>
  <si>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</si>
  <si>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</si>
  <si>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</si>
  <si>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</si>
  <si>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</si>
  <si>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</si>
  <si>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</si>
  <si>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</si>
  <si>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</si>
  <si>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</si>
  <si>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</si>
  <si>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</si>
  <si>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</si>
  <si>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</si>
  <si>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</si>
  <si>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</si>
  <si>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</si>
  <si>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</si>
  <si>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</si>
  <si>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</si>
  <si>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</si>
  <si>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</si>
  <si>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</si>
  <si>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</si>
  <si>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</si>
  <si>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</si>
  <si>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</si>
  <si>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</si>
  <si>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</si>
  <si>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</si>
  <si>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</si>
  <si>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</si>
  <si>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</si>
  <si>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</si>
  <si>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</si>
  <si>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</si>
  <si>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</si>
  <si>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</si>
  <si>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</si>
  <si>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</si>
  <si>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</si>
  <si>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</si>
  <si>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</si>
  <si>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</si>
  <si>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</si>
  <si>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</si>
  <si>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</si>
  <si>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</si>
  <si>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</si>
  <si>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</si>
  <si>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</si>
  <si>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</si>
  <si>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</si>
  <si>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</si>
  <si>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</si>
  <si>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</si>
  <si>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</si>
  <si>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</si>
  <si>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</si>
  <si>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</si>
  <si>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</si>
  <si>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</si>
  <si>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</si>
  <si>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</si>
  <si>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</si>
  <si>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</si>
  <si>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</si>
  <si>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</si>
  <si>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</si>
  <si>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</si>
  <si>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</si>
  <si>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</si>
  <si>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</si>
  <si>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</si>
  <si>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</si>
  <si>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</si>
  <si>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</si>
  <si>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</si>
  <si>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</si>
  <si>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</si>
  <si>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</si>
  <si>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</si>
  <si>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</si>
  <si>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</si>
  <si>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</si>
  <si>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</si>
  <si>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</si>
  <si>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</si>
  <si>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</si>
  <si>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</si>
  <si>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</si>
  <si>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</si>
  <si>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</si>
  <si>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</si>
  <si>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</si>
  <si>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</si>
  <si>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</si>
  <si>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</si>
  <si>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</si>
  <si>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</si>
  <si>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</si>
  <si>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</si>
  <si>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</si>
  <si>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</si>
  <si>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</si>
  <si>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</si>
  <si>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</si>
  <si>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</si>
  <si>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</si>
  <si>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</si>
  <si>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</si>
  <si>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</si>
  <si>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</si>
  <si>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</si>
  <si>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</si>
  <si>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</si>
  <si>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</si>
  <si>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</si>
  <si>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</si>
  <si>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</si>
  <si>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</si>
  <si>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</si>
  <si>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</si>
  <si>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</si>
  <si>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</si>
  <si>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</si>
  <si>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</si>
  <si>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</si>
  <si>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</si>
  <si>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</si>
  <si>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</si>
  <si>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</si>
  <si>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</si>
  <si>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</si>
  <si>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</si>
  <si>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</si>
  <si>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</si>
  <si>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</si>
  <si>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</si>
  <si>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</si>
  <si>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</si>
  <si>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</si>
  <si>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</si>
  <si>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</si>
  <si>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</si>
  <si>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</si>
  <si>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</si>
  <si>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</si>
  <si>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</si>
  <si>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</si>
  <si>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</si>
  <si>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</si>
  <si>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</si>
  <si>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</si>
  <si>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</si>
  <si>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</si>
  <si>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</si>
  <si>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</si>
  <si>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</si>
  <si>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</si>
  <si>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</si>
  <si>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</si>
  <si>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</si>
  <si>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</si>
  <si>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</si>
  <si>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</si>
  <si>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</si>
  <si>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</si>
  <si>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</si>
  <si>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</si>
  <si>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</si>
  <si>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</si>
  <si>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</si>
  <si>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</si>
  <si>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</si>
  <si>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</si>
  <si>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</si>
  <si>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</si>
  <si>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</si>
  <si>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</si>
  <si>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</si>
  <si>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</si>
  <si>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</si>
  <si>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</si>
  <si>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</si>
  <si>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</si>
  <si>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</si>
  <si>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</si>
  <si>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</si>
  <si>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</si>
  <si>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</si>
  <si>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</si>
  <si>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</si>
  <si>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</si>
  <si>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</si>
  <si>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</si>
  <si>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</si>
  <si>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</si>
  <si>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</si>
  <si>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</si>
  <si>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</si>
  <si>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</si>
  <si>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</si>
  <si>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</si>
  <si>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</si>
  <si>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</si>
  <si>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</si>
  <si>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</si>
  <si>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</si>
  <si>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</si>
  <si>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</si>
  <si>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</si>
  <si>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</si>
  <si>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</si>
  <si>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</si>
  <si>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</si>
  <si>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</si>
  <si>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</si>
  <si>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</si>
  <si>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</si>
  <si>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</si>
  <si>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</si>
  <si>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</si>
  <si>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</si>
  <si>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</si>
  <si>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</si>
  <si>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</si>
  <si>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</si>
  <si>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</si>
  <si>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</si>
  <si>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</si>
  <si>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</si>
  <si>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</si>
  <si>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</si>
  <si>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</si>
  <si>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</si>
  <si>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</si>
  <si>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</si>
  <si>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</si>
  <si>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</si>
  <si>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</si>
  <si>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</si>
  <si>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</si>
  <si>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</si>
  <si>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</si>
  <si>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</si>
  <si>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</si>
  <si>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</si>
  <si>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</si>
  <si>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</si>
  <si>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</si>
  <si>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</si>
  <si>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</si>
  <si>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</si>
  <si>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</si>
  <si>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</si>
  <si>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</si>
  <si>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</si>
  <si>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</si>
  <si>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</si>
  <si>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</si>
  <si>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</si>
  <si>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</si>
  <si>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</si>
  <si>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</si>
  <si>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</si>
  <si>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</si>
  <si>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</si>
  <si>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</si>
  <si>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</si>
  <si>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</si>
  <si>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</si>
  <si>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</si>
  <si>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</si>
  <si>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</si>
  <si>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</si>
  <si>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</si>
  <si>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</si>
  <si>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</si>
  <si>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</si>
  <si>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</si>
  <si>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</si>
  <si>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</si>
  <si>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</si>
  <si>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</si>
  <si>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</si>
  <si>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</si>
  <si>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</si>
  <si>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</si>
  <si>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</si>
  <si>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</si>
  <si>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</si>
  <si>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</si>
  <si>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</si>
  <si>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</si>
  <si>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</si>
  <si>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</si>
  <si>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</si>
  <si>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</si>
  <si>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</si>
  <si>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</si>
  <si>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</si>
  <si>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</si>
  <si>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</si>
  <si>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</si>
  <si>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</si>
  <si>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</si>
  <si>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</si>
  <si>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</si>
  <si>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</si>
  <si>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</si>
  <si>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</si>
  <si>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</si>
  <si>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</si>
  <si>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</si>
  <si>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</si>
  <si>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</si>
  <si>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</si>
  <si>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</si>
  <si>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</si>
  <si>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</si>
  <si>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</si>
  <si>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</si>
  <si>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</si>
  <si>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</si>
  <si>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</si>
  <si>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</si>
  <si>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</si>
  <si>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</si>
  <si>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</si>
  <si>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</si>
  <si>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</si>
  <si>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</si>
  <si>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</si>
  <si>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</si>
  <si>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</si>
  <si>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</si>
  <si>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</si>
  <si>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</si>
  <si>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</si>
  <si>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</si>
  <si>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</si>
  <si>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</si>
  <si>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</si>
  <si>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</si>
  <si>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</si>
  <si>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</si>
  <si>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</si>
  <si>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</si>
  <si>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</si>
  <si>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</si>
  <si>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</si>
  <si>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</si>
  <si>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</si>
  <si>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</si>
  <si>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</si>
  <si>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</si>
  <si>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</si>
  <si>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</si>
  <si>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</si>
  <si>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</si>
  <si>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</si>
  <si>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</si>
  <si>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</si>
  <si>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</si>
  <si>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</si>
  <si>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</si>
  <si>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</si>
  <si>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</si>
  <si>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</si>
  <si>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</si>
  <si>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</si>
  <si>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</si>
  <si>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</si>
  <si>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</si>
  <si>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</si>
  <si>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</si>
  <si>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</si>
  <si>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</si>
  <si>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</si>
  <si>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</si>
  <si>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</si>
  <si>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</si>
  <si>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</si>
  <si>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</si>
  <si>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</si>
  <si>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</si>
  <si>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</si>
  <si>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</si>
  <si>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</si>
  <si>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</si>
  <si>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</si>
  <si>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</si>
  <si>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</si>
  <si>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</si>
  <si>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</si>
  <si>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</si>
  <si>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</si>
  <si>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</si>
  <si>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</si>
  <si>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</si>
  <si>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</si>
  <si>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</si>
  <si>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</si>
  <si>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</si>
  <si>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</si>
  <si>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</si>
  <si>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</si>
  <si>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</si>
  <si>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</si>
  <si>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</si>
  <si>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</si>
  <si>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</si>
  <si>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</si>
  <si>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</si>
  <si>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</si>
  <si>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</si>
  <si>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</si>
  <si>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</si>
  <si>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</si>
  <si>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</si>
  <si>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</si>
  <si>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</si>
  <si>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</si>
  <si>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</si>
  <si>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</si>
  <si>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</si>
  <si>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</si>
  <si>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</si>
  <si>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</si>
  <si>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</si>
  <si>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</si>
  <si>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</si>
  <si>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</si>
  <si>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</si>
  <si>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</si>
  <si>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</si>
  <si>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</si>
  <si>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</si>
  <si>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</si>
  <si>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</si>
  <si>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</si>
  <si>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</si>
  <si>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</si>
  <si>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</si>
  <si>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</si>
  <si>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</si>
  <si>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</si>
  <si>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</si>
  <si>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</si>
  <si>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</si>
  <si>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</si>
  <si>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</si>
  <si>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</si>
  <si>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</si>
  <si>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</si>
  <si>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</si>
  <si>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</si>
  <si>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</si>
  <si>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</si>
  <si>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</si>
  <si>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</si>
  <si>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</si>
  <si>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</si>
  <si>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</si>
  <si>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</si>
  <si>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</si>
  <si>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</si>
  <si>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</si>
  <si>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</si>
  <si>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</si>
  <si>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</si>
  <si>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</si>
  <si>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</si>
  <si>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</si>
  <si>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</si>
  <si>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</si>
  <si>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</si>
  <si>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</si>
  <si>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</si>
  <si>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</si>
  <si>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</si>
  <si>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</si>
  <si>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</si>
  <si>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</si>
  <si>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</si>
  <si>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</si>
  <si>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</si>
  <si>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</si>
  <si>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</si>
  <si>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</si>
  <si>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</si>
  <si>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</si>
  <si>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</si>
  <si>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</si>
  <si>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</si>
  <si>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</si>
  <si>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</si>
  <si>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</si>
  <si>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</si>
  <si>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</si>
  <si>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</si>
  <si>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</si>
  <si>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</si>
  <si>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</si>
  <si>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</si>
  <si>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</si>
  <si>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</si>
  <si>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</si>
  <si>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</si>
  <si>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</si>
  <si>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</si>
  <si>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</si>
  <si>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</si>
  <si>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</si>
  <si>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</si>
  <si>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</si>
  <si>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</si>
  <si>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</si>
  <si>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</si>
  <si>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</si>
  <si>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</si>
  <si>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</si>
  <si>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</si>
  <si>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</si>
  <si>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</si>
  <si>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</si>
  <si>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</si>
  <si>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</si>
  <si>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</si>
  <si>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</si>
  <si>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</si>
  <si>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</si>
  <si>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</si>
  <si>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</si>
  <si>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</si>
  <si>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</si>
  <si>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</si>
  <si>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</si>
  <si>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</si>
  <si>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</si>
  <si>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</si>
  <si>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</si>
  <si>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</si>
  <si>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</si>
  <si>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</si>
  <si>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</si>
  <si>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</si>
  <si>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</si>
  <si>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</si>
  <si>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</si>
  <si>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</si>
  <si>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</si>
  <si>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</si>
  <si>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</si>
  <si>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</si>
  <si>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</si>
  <si>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</si>
  <si>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</si>
  <si>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</si>
  <si>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</si>
  <si>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</si>
  <si>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</si>
  <si>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</si>
  <si>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</si>
  <si>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</si>
  <si>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</si>
  <si>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</si>
  <si>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</si>
  <si>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</si>
  <si>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</si>
  <si>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</si>
  <si>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</si>
  <si>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</si>
  <si>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</si>
  <si>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</si>
  <si>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</si>
  <si>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</si>
  <si>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</si>
  <si>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</si>
  <si>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</si>
  <si>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</si>
  <si>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</si>
  <si>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</si>
  <si>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</si>
  <si>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</si>
  <si>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</si>
  <si>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</si>
  <si>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</si>
  <si>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</si>
  <si>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</si>
  <si>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</si>
  <si>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</si>
  <si>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</si>
  <si>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</si>
  <si>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</si>
  <si>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</si>
  <si>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</si>
  <si>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</si>
  <si>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</si>
  <si>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</si>
  <si>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</si>
  <si>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</si>
  <si>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</si>
  <si>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</si>
  <si>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</si>
  <si>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</si>
  <si>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</si>
  <si>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</si>
  <si>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</si>
  <si>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</si>
  <si>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</si>
  <si>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</si>
  <si>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</si>
  <si>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</si>
  <si>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</si>
  <si>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</si>
  <si>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</si>
  <si>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</si>
  <si>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</si>
  <si>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</si>
  <si>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</si>
  <si>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</si>
  <si>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</si>
  <si>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</si>
  <si>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</si>
  <si>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</si>
  <si>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</si>
  <si>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</si>
  <si>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</si>
  <si>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</si>
  <si>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</si>
  <si>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</si>
  <si>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</si>
  <si>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</si>
  <si>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</si>
  <si>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</si>
  <si>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</si>
  <si>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</si>
  <si>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</si>
  <si>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</si>
  <si>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</si>
  <si>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</si>
  <si>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</si>
  <si>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</si>
  <si>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</si>
  <si>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</si>
  <si>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</si>
  <si>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</si>
  <si>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</si>
  <si>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</si>
  <si>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</si>
  <si>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</si>
  <si>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</si>
  <si>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</si>
  <si>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</si>
  <si>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</si>
  <si>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</si>
  <si>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</si>
  <si>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</si>
  <si>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</si>
  <si>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</si>
  <si>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</si>
  <si>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</si>
  <si>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</si>
  <si>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</si>
  <si>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</si>
  <si>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</si>
  <si>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</si>
  <si>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</si>
  <si>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</si>
  <si>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</si>
  <si>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</si>
  <si>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</si>
  <si>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</si>
  <si>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</si>
  <si>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</si>
  <si>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</si>
  <si>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</si>
  <si>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</si>
  <si>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</si>
  <si>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</si>
  <si>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</si>
  <si>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</si>
  <si>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</si>
  <si>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</si>
  <si>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</si>
  <si>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</si>
  <si>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</si>
  <si>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</si>
  <si>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</si>
  <si>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</si>
  <si>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</si>
  <si>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</si>
  <si>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</si>
  <si>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</si>
  <si>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</si>
  <si>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</si>
  <si>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</si>
  <si>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</si>
  <si>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</si>
  <si>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</si>
  <si>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</si>
  <si>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</si>
  <si>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</si>
  <si>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</si>
  <si>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</si>
  <si>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</si>
  <si>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</si>
  <si>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</si>
  <si>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</si>
  <si>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</si>
  <si>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</si>
  <si>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</si>
  <si>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</si>
  <si>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</si>
  <si>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</si>
  <si>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</si>
  <si>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</si>
  <si>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</si>
  <si>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</si>
  <si>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</si>
  <si>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</si>
  <si>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</si>
  <si>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</si>
  <si>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</si>
  <si>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</si>
  <si>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</si>
  <si>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</si>
  <si>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</si>
  <si>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</si>
  <si>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</si>
  <si>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</si>
  <si>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</si>
  <si>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</si>
  <si>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</si>
  <si>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</si>
  <si>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</si>
  <si>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</si>
  <si>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</si>
  <si>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</si>
  <si>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</si>
  <si>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</si>
  <si>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</si>
  <si>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</si>
  <si>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</si>
  <si>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</si>
  <si>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</si>
  <si>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</si>
  <si>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</si>
  <si>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</si>
  <si>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</si>
  <si>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</si>
  <si>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</si>
  <si>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</si>
  <si>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</si>
  <si>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</si>
  <si>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</si>
  <si>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</si>
  <si>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</si>
  <si>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</si>
  <si>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</si>
  <si>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</si>
  <si>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</si>
  <si>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</si>
  <si>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</si>
  <si>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</si>
  <si>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</si>
  <si>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</si>
  <si>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</si>
  <si>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</si>
  <si>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</si>
  <si>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</si>
  <si>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</si>
  <si>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</si>
  <si>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</si>
  <si>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</si>
  <si>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</si>
  <si>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</si>
  <si>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</si>
  <si>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</si>
  <si>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</si>
  <si>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</si>
  <si>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</si>
  <si>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</si>
  <si>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</si>
  <si>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</si>
  <si>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</si>
  <si>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</si>
  <si>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</si>
  <si>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</si>
  <si>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</si>
  <si>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</si>
  <si>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</si>
  <si>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</si>
  <si>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</si>
  <si>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</si>
  <si>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</si>
  <si>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</si>
  <si>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</si>
  <si>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</si>
  <si>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</si>
  <si>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</si>
  <si>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</si>
  <si>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</si>
  <si>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</si>
  <si>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</si>
  <si>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</si>
  <si>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</si>
  <si>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</si>
  <si>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</si>
  <si>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</si>
  <si>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</si>
  <si>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</si>
  <si>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</si>
  <si>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</si>
  <si>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</si>
  <si>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</si>
  <si>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</si>
  <si>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</si>
  <si>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</si>
  <si>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</si>
  <si>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</si>
  <si>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</si>
  <si>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</si>
  <si>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</si>
  <si>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</si>
  <si>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</si>
  <si>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</si>
  <si>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</si>
  <si>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</si>
  <si>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</si>
  <si>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</si>
  <si>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</si>
  <si>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</si>
  <si>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</si>
  <si>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</si>
  <si>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</si>
  <si>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</si>
  <si>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</si>
  <si>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</si>
  <si>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</si>
  <si>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</si>
  <si>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</si>
  <si>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</si>
  <si>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</si>
  <si>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</si>
  <si>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</si>
  <si>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</si>
  <si>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</si>
  <si>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</si>
  <si>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</si>
  <si>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</si>
  <si>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</si>
  <si>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</si>
  <si>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</si>
  <si>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</si>
  <si>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</si>
  <si>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</si>
  <si>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</si>
  <si>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</si>
  <si>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</si>
  <si>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</si>
  <si>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</si>
  <si>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</si>
  <si>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</si>
  <si>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</si>
  <si>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</si>
  <si>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</si>
  <si>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</si>
  <si>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</si>
  <si>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</si>
  <si>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</si>
  <si>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</si>
  <si>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</si>
  <si>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</si>
  <si>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</si>
  <si>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</si>
  <si>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</si>
  <si>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</si>
  <si>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</si>
  <si>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</si>
  <si>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</si>
  <si>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</si>
  <si>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</si>
  <si>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</si>
  <si>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</si>
  <si>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</si>
  <si>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</si>
  <si>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</si>
  <si>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</si>
  <si>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</si>
  <si>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</si>
  <si>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</si>
  <si>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</si>
  <si>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</si>
  <si>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</si>
  <si>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</si>
  <si>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</si>
  <si>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</si>
  <si>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</si>
  <si>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</si>
  <si>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</si>
  <si>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</si>
  <si>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</si>
  <si>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</si>
  <si>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</si>
  <si>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</si>
  <si>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</si>
  <si>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</si>
  <si>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</si>
  <si>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</si>
  <si>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</si>
  <si>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</si>
  <si>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</si>
  <si>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</si>
  <si>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</si>
  <si>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</si>
  <si>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</si>
  <si>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</si>
  <si>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</si>
  <si>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</si>
  <si>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</si>
  <si>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</si>
  <si>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</si>
  <si>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</si>
  <si>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</si>
  <si>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</si>
  <si>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</si>
  <si>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</si>
  <si>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</si>
  <si>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</si>
  <si>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</si>
  <si>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</si>
  <si>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</si>
  <si>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</si>
  <si>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</si>
  <si>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</si>
  <si>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</si>
  <si>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</si>
  <si>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</si>
  <si>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</si>
  <si>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</si>
  <si>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</si>
  <si>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</si>
  <si>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</si>
  <si>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</si>
  <si>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</si>
  <si>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</si>
  <si>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</si>
  <si>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</si>
  <si>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</si>
  <si>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</si>
  <si>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</si>
  <si>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</si>
  <si>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</si>
  <si>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</si>
  <si>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</si>
  <si>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</si>
  <si>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</si>
  <si>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</si>
  <si>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</si>
  <si>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</si>
  <si>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</si>
  <si>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</si>
  <si>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</si>
  <si>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</si>
  <si>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</si>
  <si>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</si>
  <si>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</si>
  <si>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</si>
  <si>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</si>
  <si>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</si>
  <si>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</si>
  <si>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</si>
  <si>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</si>
  <si>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</si>
  <si>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</si>
  <si>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</si>
  <si>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</si>
  <si>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</si>
  <si>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</si>
  <si>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</si>
  <si>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</si>
  <si>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</si>
  <si>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</si>
  <si>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</si>
  <si>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</si>
  <si>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</si>
  <si>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</si>
  <si>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</si>
  <si>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</si>
  <si>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</si>
  <si>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</si>
  <si>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</si>
  <si>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</si>
  <si>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</si>
  <si>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</si>
  <si>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</si>
  <si>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</si>
  <si>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</si>
  <si>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</si>
  <si>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</si>
  <si>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</si>
  <si>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</si>
  <si>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</si>
  <si>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</si>
  <si>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</si>
  <si>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</si>
  <si>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</si>
  <si>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</si>
  <si>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</si>
  <si>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</si>
  <si>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</si>
  <si>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</si>
  <si>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</si>
  <si>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</si>
  <si>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</si>
  <si>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</si>
  <si>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</si>
  <si>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</si>
  <si>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</si>
  <si>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</si>
  <si>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</si>
  <si>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</si>
  <si>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</si>
  <si>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</si>
  <si>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</si>
  <si>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</si>
  <si>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</si>
  <si>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</si>
  <si>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</si>
  <si>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</si>
  <si>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</si>
  <si>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</si>
  <si>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</si>
  <si>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</si>
  <si>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</si>
  <si>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</si>
  <si>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</si>
  <si>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</si>
  <si>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</si>
  <si>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</si>
  <si>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</si>
  <si>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</si>
  <si>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</si>
  <si>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</si>
  <si>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</si>
  <si>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</si>
  <si>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</si>
  <si>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</si>
  <si>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</si>
  <si>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</si>
  <si>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</si>
  <si>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</si>
  <si>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</si>
  <si>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</si>
  <si>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</si>
  <si>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</si>
  <si>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</si>
  <si>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</si>
  <si>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</si>
  <si>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</si>
  <si>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</si>
  <si>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</si>
  <si>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</si>
  <si>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</si>
  <si>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</si>
  <si>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</si>
  <si>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</si>
  <si>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</si>
  <si>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</si>
  <si>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</si>
  <si>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</si>
  <si>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</si>
  <si>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</si>
  <si>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</si>
  <si>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</si>
  <si>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</si>
  <si>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</si>
  <si>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</si>
  <si>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</si>
  <si>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</si>
  <si>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</si>
  <si>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</si>
  <si>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</si>
  <si>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</si>
  <si>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</si>
  <si>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</si>
  <si>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</si>
  <si>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</si>
  <si>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</si>
  <si>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</si>
  <si>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</si>
  <si>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</si>
  <si>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</si>
  <si>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</si>
  <si>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</si>
  <si>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</si>
  <si>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</si>
  <si>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</si>
  <si>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</si>
  <si>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</si>
  <si>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</si>
  <si>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</si>
  <si>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</si>
  <si>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</si>
  <si>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</si>
  <si>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</si>
  <si>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</si>
  <si>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</si>
  <si>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</si>
  <si>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</si>
  <si>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</si>
  <si>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</si>
  <si>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</si>
  <si>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</si>
  <si>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</si>
  <si>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</si>
  <si>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</si>
  <si>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</si>
  <si>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</si>
  <si>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</si>
  <si>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</si>
  <si>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</si>
  <si>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</si>
  <si>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</si>
  <si>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</si>
  <si>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</si>
  <si>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</si>
  <si>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</si>
  <si>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</si>
  <si>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</si>
  <si>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</si>
  <si>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</si>
  <si>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</si>
  <si>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</si>
  <si>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</si>
  <si>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</si>
  <si>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</si>
  <si>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</si>
  <si>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</si>
  <si>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</si>
  <si>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</si>
  <si>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</si>
  <si>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</si>
  <si>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</si>
  <si>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</si>
  <si>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</si>
  <si>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</si>
  <si>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</si>
  <si>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</si>
  <si>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</si>
  <si>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</si>
  <si>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</si>
  <si>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</si>
  <si>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</si>
  <si>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</si>
  <si>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</si>
  <si>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</si>
  <si>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</si>
  <si>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</si>
  <si>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</si>
  <si>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</si>
  <si>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</si>
  <si>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</si>
  <si>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</si>
  <si>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</si>
  <si>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</si>
  <si>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</si>
  <si>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</si>
  <si>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</si>
  <si>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</si>
  <si>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</si>
  <si>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</si>
  <si>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</si>
  <si>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</si>
  <si>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</si>
  <si>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</si>
  <si>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</si>
  <si>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</si>
  <si>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</si>
  <si>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</si>
  <si>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</si>
  <si>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</si>
  <si>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</si>
  <si>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</si>
  <si>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</si>
  <si>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</si>
  <si>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</si>
  <si>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</si>
  <si>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</si>
  <si>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</si>
  <si>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</si>
  <si>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</si>
  <si>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</si>
  <si>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</si>
  <si>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</si>
  <si>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</si>
  <si>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</si>
  <si>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</si>
  <si>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</si>
  <si>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</si>
  <si>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</si>
  <si>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</si>
  <si>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</si>
  <si>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</si>
  <si>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</si>
  <si>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</si>
  <si>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</si>
  <si>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</si>
  <si>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</si>
  <si>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</si>
  <si>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</si>
  <si>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</si>
  <si>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</si>
  <si>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</si>
  <si>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</si>
  <si>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</si>
  <si>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</si>
  <si>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</si>
  <si>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</si>
  <si>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</si>
  <si>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</si>
  <si>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</si>
  <si>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</si>
  <si>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</si>
  <si>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</si>
  <si>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</si>
  <si>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</si>
  <si>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</si>
  <si>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</si>
  <si>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</si>
  <si>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</si>
  <si>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</si>
  <si>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</si>
  <si>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</si>
  <si>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</si>
  <si>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</si>
  <si>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</si>
  <si>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</si>
  <si>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</si>
  <si>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</si>
  <si>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</si>
  <si>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</si>
  <si>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</si>
  <si>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</si>
  <si>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</si>
  <si>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</si>
  <si>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</si>
  <si>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</si>
  <si>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</si>
  <si>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</si>
  <si>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</si>
  <si>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</si>
  <si>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</si>
  <si>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</si>
  <si>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</si>
  <si>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</si>
  <si>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</si>
  <si>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</si>
  <si>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</si>
  <si>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</si>
  <si>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</si>
  <si>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</si>
  <si>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</si>
  <si>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</si>
  <si>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</si>
  <si>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</si>
  <si>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</si>
  <si>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</si>
  <si>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</si>
  <si>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</si>
  <si>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</si>
  <si>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</si>
  <si>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</si>
  <si>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</si>
  <si>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</si>
  <si>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</si>
  <si>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</si>
  <si>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</si>
  <si>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</si>
  <si>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</si>
  <si>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</si>
  <si>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</si>
  <si>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</si>
  <si>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</si>
  <si>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</si>
  <si>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</si>
  <si>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</si>
  <si>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</si>
  <si>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</si>
  <si>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</si>
  <si>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</si>
  <si>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</si>
  <si>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</si>
  <si>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</si>
  <si>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</si>
  <si>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</si>
  <si>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</si>
  <si>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</si>
  <si>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</si>
  <si>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</si>
  <si>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</si>
  <si>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</si>
  <si>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</si>
  <si>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</si>
  <si>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</si>
  <si>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</si>
  <si>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</si>
  <si>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</si>
  <si>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</si>
  <si>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</si>
  <si>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</si>
  <si>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</si>
  <si>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</si>
  <si>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</si>
  <si>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</si>
  <si>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</si>
  <si>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</si>
  <si>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</si>
  <si>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</si>
  <si>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</si>
  <si>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</si>
  <si>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</si>
  <si>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</si>
  <si>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</si>
  <si>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</si>
  <si>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</si>
  <si>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</si>
  <si>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</si>
  <si>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</si>
  <si>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</si>
  <si>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</si>
  <si>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</si>
  <si>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</si>
  <si>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</si>
  <si>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</si>
  <si>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</si>
  <si>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</si>
  <si>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</si>
  <si>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</si>
  <si>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</si>
  <si>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</si>
  <si>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</si>
  <si>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</si>
  <si>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</si>
  <si>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</si>
  <si>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</si>
  <si>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</si>
  <si>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</si>
  <si>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</si>
  <si>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</si>
  <si>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</si>
  <si>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</si>
  <si>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</si>
  <si>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</si>
  <si>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</si>
  <si>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</si>
  <si>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</si>
  <si>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</si>
  <si>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</si>
  <si>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</si>
  <si>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</si>
  <si>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</si>
  <si>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</si>
  <si>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</si>
  <si>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</si>
  <si>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</si>
  <si>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</si>
  <si>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</si>
  <si>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</si>
  <si>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</si>
  <si>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</si>
  <si>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</si>
  <si>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</si>
  <si>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</si>
  <si>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</si>
  <si>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</si>
  <si>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</si>
  <si>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</si>
  <si>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</si>
  <si>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</si>
  <si>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</si>
  <si>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</si>
  <si>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</si>
  <si>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</si>
  <si>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</si>
  <si>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</si>
  <si>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</si>
  <si>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</si>
  <si>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</si>
  <si>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</si>
  <si>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</si>
  <si>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</si>
  <si>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</si>
  <si>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</si>
  <si>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</si>
  <si>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</si>
  <si>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</si>
  <si>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</si>
  <si>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</si>
  <si>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</si>
  <si>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</si>
  <si>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</si>
  <si>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</si>
  <si>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</si>
  <si>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</si>
  <si>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</si>
  <si>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</si>
  <si>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</si>
  <si>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</si>
  <si>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</si>
  <si>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</si>
  <si>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</si>
  <si>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</si>
  <si>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</si>
  <si>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</si>
  <si>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</si>
  <si>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</si>
  <si>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</si>
  <si>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</si>
  <si>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</si>
  <si>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</si>
  <si>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</si>
  <si>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</si>
  <si>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</si>
  <si>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</si>
  <si>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</si>
  <si>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</si>
  <si>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</si>
  <si>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</si>
  <si>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</si>
  <si>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</si>
  <si>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</si>
  <si>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</si>
  <si>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</si>
  <si>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</si>
  <si>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</si>
  <si>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</si>
  <si>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</si>
  <si>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</si>
  <si>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</si>
  <si>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</si>
  <si>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</si>
  <si>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</si>
  <si>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</si>
  <si>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</si>
  <si>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</si>
  <si>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</si>
  <si>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</si>
  <si>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</si>
  <si>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</si>
  <si>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</si>
  <si>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</si>
  <si>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</si>
  <si>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</si>
  <si>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</si>
  <si>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</si>
  <si>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</si>
  <si>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</si>
  <si>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</si>
  <si>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</si>
  <si>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</si>
  <si>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</si>
  <si>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</si>
  <si>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</si>
  <si>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</si>
  <si>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</si>
  <si>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</si>
  <si>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</si>
  <si>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</si>
  <si>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</si>
  <si>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</si>
  <si>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</si>
  <si>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</si>
  <si>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</si>
  <si>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</si>
  <si>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</si>
  <si>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</si>
  <si>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</si>
  <si>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</si>
  <si>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</si>
  <si>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</si>
  <si>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</si>
  <si>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</si>
  <si>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</si>
  <si>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</si>
  <si>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</si>
  <si>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</si>
  <si>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</si>
  <si>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</si>
  <si>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</si>
  <si>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</si>
  <si>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</si>
  <si>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</si>
  <si>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</si>
  <si>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</si>
  <si>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</si>
  <si>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</si>
  <si>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</si>
  <si>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</si>
  <si>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</si>
  <si>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</si>
  <si>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</si>
  <si>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</si>
  <si>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</si>
  <si>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</si>
  <si>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</si>
  <si>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</si>
  <si>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</si>
  <si>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</si>
  <si>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</si>
  <si>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</si>
  <si>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</si>
  <si>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</si>
  <si>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</si>
  <si>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</si>
  <si>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</si>
  <si>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</si>
  <si>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</si>
  <si>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</si>
  <si>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</si>
  <si>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</si>
  <si>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</si>
  <si>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</si>
  <si>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</si>
  <si>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</si>
  <si>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</si>
  <si>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</si>
  <si>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</si>
  <si>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</si>
  <si>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</si>
  <si>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</si>
  <si>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</si>
  <si>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</si>
  <si>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</si>
  <si>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</si>
  <si>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</si>
  <si>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</si>
  <si>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</si>
  <si>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</si>
  <si>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</si>
  <si>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</si>
  <si>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</si>
  <si>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</si>
  <si>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</si>
  <si>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</si>
  <si>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</si>
  <si>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</si>
  <si>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</si>
  <si>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</si>
  <si>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</si>
  <si>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</si>
  <si>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</si>
  <si>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</si>
  <si>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</si>
  <si>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</si>
  <si>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</si>
  <si>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</si>
  <si>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</si>
  <si>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</si>
  <si>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</si>
  <si>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</si>
  <si>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</si>
  <si>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</si>
  <si>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</si>
  <si>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</si>
  <si>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</si>
  <si>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</si>
  <si>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</si>
  <si>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</si>
  <si>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</si>
  <si>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</si>
  <si>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</si>
  <si>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</si>
  <si>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</si>
  <si>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</si>
  <si>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</si>
  <si>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</si>
  <si>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</si>
  <si>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</si>
  <si>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</si>
  <si>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</si>
  <si>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</si>
  <si>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</si>
  <si>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</si>
  <si>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</si>
  <si>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</si>
  <si>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</si>
  <si>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</si>
  <si>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</si>
  <si>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</si>
  <si>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</si>
  <si>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</si>
  <si>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</si>
  <si>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</si>
  <si>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</si>
  <si>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</si>
  <si>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</si>
  <si>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</si>
  <si>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</si>
  <si>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</si>
  <si>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</si>
  <si>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</si>
  <si>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</si>
  <si>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</si>
  <si>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</si>
  <si>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</si>
  <si>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</si>
  <si>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</si>
  <si>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</si>
  <si>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</si>
  <si>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</si>
  <si>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</si>
  <si>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</si>
  <si>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</si>
  <si>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</si>
  <si>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</si>
  <si>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</si>
  <si>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</si>
  <si>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</si>
  <si>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</si>
  <si>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</si>
  <si>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</si>
  <si>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</si>
  <si>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</si>
  <si>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</si>
  <si>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</si>
  <si>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</si>
  <si>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</si>
  <si>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</si>
  <si>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</si>
  <si>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</si>
  <si>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</si>
  <si>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</si>
  <si>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</si>
  <si>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</si>
  <si>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</si>
  <si>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</si>
  <si>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</si>
  <si>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</si>
  <si>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</si>
  <si>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</si>
  <si>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</si>
  <si>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</si>
  <si>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</si>
  <si>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</si>
  <si>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</si>
  <si>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</si>
  <si>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</si>
  <si>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</si>
  <si>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</si>
  <si>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</si>
  <si>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</si>
  <si>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</si>
  <si>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</si>
  <si>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</si>
  <si>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</si>
  <si>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</si>
  <si>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</si>
  <si>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</si>
  <si>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</si>
  <si>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</si>
  <si>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</si>
  <si>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</si>
  <si>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</si>
  <si>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</si>
  <si>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</si>
  <si>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</si>
  <si>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</si>
  <si>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</si>
  <si>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</si>
  <si>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</si>
  <si>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</si>
  <si>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</si>
  <si>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</si>
  <si>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</si>
  <si>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</si>
  <si>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</si>
  <si>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</si>
  <si>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</si>
  <si>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</si>
  <si>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</si>
  <si>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</si>
  <si>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</si>
  <si>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</si>
  <si>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</si>
  <si>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</si>
  <si>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</si>
  <si>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</si>
  <si>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</si>
  <si>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</si>
  <si>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</si>
  <si>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</si>
  <si>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</si>
  <si>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</si>
  <si>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</si>
  <si>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</si>
  <si>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</si>
  <si>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</si>
  <si>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</si>
  <si>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</si>
  <si>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</si>
  <si>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</si>
  <si>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</si>
  <si>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</si>
  <si>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</si>
  <si>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</si>
  <si>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</si>
  <si>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</si>
  <si>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</si>
  <si>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</si>
  <si>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</si>
  <si>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</si>
  <si>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</si>
  <si>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</si>
  <si>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</si>
  <si>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</si>
  <si>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</si>
  <si>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</si>
  <si>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</si>
  <si>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</si>
  <si>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</si>
  <si>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</si>
  <si>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</si>
  <si>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</si>
  <si>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</si>
  <si>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</si>
  <si>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</si>
  <si>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</si>
  <si>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</si>
  <si>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</si>
  <si>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</si>
  <si>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</si>
  <si>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</si>
  <si>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</si>
  <si>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</si>
  <si>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</si>
  <si>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</si>
  <si>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</si>
  <si>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</si>
  <si>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</si>
  <si>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</si>
  <si>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</si>
  <si>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</si>
  <si>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</si>
  <si>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</si>
  <si>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</si>
  <si>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</si>
  <si>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</si>
  <si>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</si>
  <si>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</si>
  <si>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</si>
  <si>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</si>
  <si>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</si>
  <si>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</si>
  <si>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</si>
  <si>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</si>
  <si>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</si>
  <si>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</si>
  <si>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</si>
  <si>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</si>
  <si>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</si>
  <si>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</si>
  <si>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</si>
  <si>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</si>
  <si>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</si>
  <si>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</si>
  <si>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</si>
  <si>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</si>
  <si>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</si>
  <si>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</si>
  <si>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</si>
  <si>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</si>
  <si>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</si>
  <si>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</si>
  <si>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</si>
  <si>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</si>
  <si>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</si>
  <si>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</si>
  <si>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</si>
  <si>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</si>
  <si>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</si>
  <si>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</si>
  <si>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</si>
  <si>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</si>
  <si>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</si>
  <si>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</si>
  <si>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</si>
  <si>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</si>
  <si>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</si>
  <si>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</si>
  <si>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</si>
  <si>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</si>
  <si>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</si>
  <si>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</si>
  <si>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</si>
  <si>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</si>
  <si>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</si>
  <si>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</si>
  <si>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</si>
  <si>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</si>
  <si>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</si>
  <si>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</si>
  <si>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</si>
  <si>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</si>
  <si>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</si>
  <si>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</si>
  <si>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</si>
  <si>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</si>
  <si>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</si>
  <si>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</si>
  <si>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</si>
  <si>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</si>
  <si>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</si>
  <si>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</si>
  <si>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</si>
  <si>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</si>
  <si>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</si>
  <si>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</si>
  <si>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</si>
  <si>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</si>
  <si>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</si>
  <si>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</si>
  <si>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</si>
  <si>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</si>
  <si>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</si>
  <si>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</si>
  <si>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</si>
  <si>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</si>
  <si>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</si>
  <si>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</si>
  <si>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</si>
  <si>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</si>
  <si>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</si>
  <si>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</si>
  <si>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</si>
  <si>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</si>
  <si>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</si>
  <si>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</si>
  <si>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</si>
  <si>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</si>
  <si>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</si>
  <si>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</si>
  <si>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</si>
  <si>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</si>
  <si>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</si>
  <si>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</si>
  <si>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</si>
  <si>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</si>
  <si>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</si>
  <si>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</si>
  <si>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</si>
  <si>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</si>
  <si>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</si>
  <si>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</si>
  <si>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</si>
  <si>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</si>
  <si>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</si>
  <si>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</si>
  <si>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</si>
  <si>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</si>
  <si>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</si>
  <si>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</si>
  <si>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</si>
  <si>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</si>
  <si>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</si>
  <si>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</si>
  <si>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</si>
  <si>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</si>
  <si>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</si>
  <si>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</si>
  <si>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</si>
  <si>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</si>
  <si>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</si>
  <si>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</si>
  <si>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</si>
  <si>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</si>
  <si>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</si>
  <si>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</si>
  <si>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</si>
  <si>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</si>
  <si>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</si>
  <si>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</si>
  <si>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</si>
  <si>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</si>
  <si>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</si>
  <si>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</si>
  <si>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</si>
  <si>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</si>
  <si>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</si>
  <si>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</si>
  <si>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</si>
  <si>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</si>
  <si>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</si>
  <si>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</si>
  <si>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</si>
  <si>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</si>
  <si>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</si>
  <si>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</si>
  <si>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</si>
  <si>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</si>
  <si>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</si>
  <si>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</si>
  <si>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</si>
  <si>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</si>
  <si>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</si>
  <si>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</si>
  <si>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</si>
  <si>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</si>
  <si>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</si>
  <si>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</si>
  <si>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</si>
  <si>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</si>
  <si>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</si>
  <si>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</si>
  <si>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</si>
  <si>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</si>
  <si>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</si>
  <si>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</si>
  <si>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</si>
  <si>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</si>
  <si>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</si>
  <si>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</si>
  <si>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</si>
  <si>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</si>
  <si>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</si>
  <si>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</si>
  <si>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</si>
  <si>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</si>
  <si>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</si>
  <si>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</si>
  <si>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</si>
  <si>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</si>
  <si>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</si>
  <si>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</si>
  <si>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</si>
  <si>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</si>
  <si>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</si>
  <si>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</si>
  <si>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</si>
  <si>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</si>
  <si>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</si>
  <si>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</si>
  <si>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</si>
  <si>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</si>
  <si>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</si>
  <si>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</si>
  <si>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</si>
  <si>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</si>
  <si>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</si>
  <si>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</si>
  <si>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</si>
  <si>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</si>
  <si>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</si>
  <si>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</si>
  <si>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</si>
  <si>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</si>
  <si>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</si>
  <si>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</si>
  <si>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</si>
  <si>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</si>
  <si>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</si>
  <si>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</si>
  <si>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</si>
  <si>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</si>
  <si>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</si>
  <si>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</si>
  <si>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</si>
  <si>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</si>
  <si>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</si>
  <si>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</si>
  <si>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</si>
  <si>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</si>
  <si>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</si>
  <si>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</si>
  <si>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</si>
  <si>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</si>
  <si>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</si>
  <si>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</si>
  <si>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</si>
  <si>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</si>
  <si>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</si>
  <si>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</si>
  <si>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</si>
  <si>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</si>
  <si>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</si>
  <si>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</si>
  <si>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</si>
  <si>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</si>
  <si>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</si>
  <si>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</si>
  <si>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</si>
  <si>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</si>
  <si>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</si>
  <si>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</si>
  <si>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</si>
  <si>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</si>
  <si>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</si>
  <si>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</si>
  <si>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</si>
  <si>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</si>
  <si>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</si>
  <si>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</si>
  <si>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</si>
  <si>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</si>
  <si>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</si>
  <si>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</si>
  <si>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</si>
  <si>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</si>
  <si>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</si>
  <si>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</si>
  <si>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</si>
  <si>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</si>
  <si>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</si>
  <si>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</si>
  <si>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</si>
  <si>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</si>
  <si>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</si>
  <si>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</si>
  <si>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</si>
  <si>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</si>
  <si>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</si>
  <si>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</si>
  <si>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</si>
  <si>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</si>
  <si>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</si>
  <si>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</si>
  <si>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</si>
  <si>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</si>
  <si>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</si>
  <si>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</si>
  <si>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</si>
  <si>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</si>
  <si>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</si>
  <si>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</si>
  <si>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</si>
  <si>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</si>
  <si>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</si>
  <si>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</si>
  <si>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</si>
  <si>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</si>
  <si>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</si>
  <si>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</si>
  <si>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</si>
  <si>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</si>
  <si>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</si>
  <si>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</si>
  <si>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</si>
  <si>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</si>
  <si>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</si>
  <si>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</si>
  <si>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</si>
  <si>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</si>
  <si>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</si>
  <si>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</si>
  <si>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</si>
  <si>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</si>
  <si>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</si>
  <si>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</si>
  <si>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</si>
  <si>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</si>
  <si>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</si>
  <si>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</si>
  <si>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</si>
  <si>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</si>
  <si>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</si>
  <si>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</si>
  <si>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</si>
  <si>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</si>
  <si>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</si>
  <si>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</si>
  <si>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</si>
  <si>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</si>
  <si>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</si>
  <si>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</si>
  <si>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</si>
  <si>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</si>
  <si>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</si>
  <si>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</si>
  <si>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</si>
  <si>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</si>
  <si>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</si>
  <si>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</si>
  <si>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</si>
  <si>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</si>
  <si>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</si>
  <si>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</si>
  <si>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</si>
  <si>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</si>
  <si>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</si>
  <si>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</si>
  <si>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</si>
  <si>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</si>
  <si>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</si>
  <si>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</si>
  <si>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</si>
  <si>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</si>
  <si>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</si>
  <si>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</si>
  <si>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</si>
  <si>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</si>
  <si>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</si>
  <si>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</si>
  <si>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</si>
  <si>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</si>
  <si>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</si>
  <si>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</si>
  <si>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</si>
  <si>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</si>
  <si>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</si>
  <si>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</si>
  <si>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</si>
  <si>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</si>
  <si>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</si>
  <si>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</si>
  <si>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</si>
  <si>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</si>
  <si>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</si>
  <si>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</si>
  <si>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</si>
  <si>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</si>
  <si>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</si>
  <si>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</si>
  <si>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</si>
  <si>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</si>
  <si>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</si>
  <si>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</si>
  <si>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</si>
  <si>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</si>
  <si>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</si>
  <si>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</si>
  <si>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</si>
  <si>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</si>
  <si>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</si>
  <si>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</si>
  <si>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</si>
  <si>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</si>
  <si>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</si>
  <si>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</si>
  <si>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</si>
  <si>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</si>
  <si>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</si>
  <si>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</si>
  <si>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</si>
  <si>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</si>
  <si>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</si>
  <si>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</si>
  <si>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</si>
  <si>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</si>
  <si>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</si>
  <si>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</si>
  <si>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</si>
  <si>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</si>
  <si>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</si>
  <si>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</si>
  <si>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</si>
  <si>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</si>
  <si>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</si>
  <si>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</si>
  <si>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</si>
  <si>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</si>
  <si>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</si>
  <si>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</si>
  <si>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</si>
  <si>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</si>
  <si>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</si>
  <si>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</si>
  <si>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</si>
  <si>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</si>
  <si>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</si>
  <si>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</si>
  <si>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</si>
  <si>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</si>
  <si>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</si>
  <si>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</si>
  <si>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</si>
  <si>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</si>
  <si>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</si>
  <si>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</si>
  <si>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</si>
  <si>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</si>
  <si>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</si>
  <si>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</si>
  <si>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</si>
  <si>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</si>
  <si>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</si>
  <si>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</si>
  <si>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</si>
  <si>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</si>
  <si>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</si>
  <si>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</si>
  <si>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</si>
  <si>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</si>
  <si>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</si>
  <si>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</si>
  <si>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</si>
  <si>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</si>
  <si>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</si>
  <si>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</si>
  <si>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</si>
  <si>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</si>
  <si>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</si>
  <si>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</si>
  <si>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</si>
  <si>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</si>
  <si>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</si>
  <si>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</si>
  <si>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</si>
  <si>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</si>
  <si>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</si>
  <si>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</si>
  <si>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</si>
  <si>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</si>
  <si>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</si>
  <si>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</si>
  <si>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</si>
  <si>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</si>
  <si>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</si>
  <si>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</si>
  <si>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</si>
  <si>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</si>
  <si>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</si>
  <si>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</si>
  <si>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</si>
  <si>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</si>
  <si>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</si>
  <si>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</si>
  <si>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</si>
  <si>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</si>
  <si>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</si>
  <si>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</si>
  <si>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</si>
  <si>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</si>
  <si>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</si>
  <si>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</si>
  <si>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</si>
  <si>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</si>
  <si>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</si>
  <si>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</si>
  <si>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</si>
  <si>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</si>
  <si>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</si>
  <si>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</si>
  <si>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</si>
  <si>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</si>
  <si>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</si>
  <si>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</si>
  <si>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</si>
  <si>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</si>
  <si>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</si>
  <si>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</si>
  <si>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</si>
  <si>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</si>
  <si>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</si>
  <si>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</si>
  <si>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</si>
  <si>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</si>
  <si>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</si>
  <si>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</si>
  <si>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</si>
  <si>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</si>
  <si>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</si>
  <si>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</si>
  <si>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</si>
  <si>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</si>
  <si>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</si>
  <si>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</si>
  <si>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</si>
  <si>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</si>
  <si>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</si>
  <si>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</si>
  <si>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</si>
  <si>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</si>
  <si>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</si>
  <si>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</si>
  <si>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</si>
  <si>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</si>
  <si>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</si>
  <si>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</si>
  <si>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</si>
  <si>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</si>
  <si>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</si>
  <si>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</si>
  <si>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</si>
  <si>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</si>
  <si>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</si>
  <si>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</si>
  <si>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</si>
  <si>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</si>
  <si>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</si>
  <si>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</si>
  <si>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</si>
  <si>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</si>
  <si>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</si>
  <si>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</si>
  <si>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</si>
  <si>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</si>
  <si>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</si>
  <si>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</si>
  <si>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</si>
  <si>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</si>
  <si>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</si>
  <si>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</si>
  <si>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</si>
  <si>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</si>
  <si>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</si>
  <si>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</si>
  <si>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</si>
  <si>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</si>
  <si>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</si>
  <si>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</si>
  <si>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</si>
  <si>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</si>
  <si>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</si>
  <si>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</si>
  <si>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</si>
  <si>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</si>
  <si>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</si>
  <si>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</si>
  <si>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</si>
  <si>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</si>
  <si>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</si>
  <si>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</si>
  <si>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</si>
  <si>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</si>
  <si>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</si>
  <si>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</si>
  <si>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</si>
  <si>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</si>
  <si>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</si>
  <si>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</si>
  <si>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</si>
  <si>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</si>
  <si>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</si>
  <si>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</si>
  <si>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</si>
  <si>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</si>
  <si>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</si>
  <si>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</si>
  <si>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</si>
  <si>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</si>
  <si>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</si>
  <si>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</si>
  <si>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</si>
  <si>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</si>
  <si>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</si>
  <si>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</si>
  <si>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</si>
  <si>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</si>
  <si>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</si>
  <si>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</si>
  <si>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</si>
  <si>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</si>
  <si>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</si>
  <si>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</si>
  <si>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</si>
  <si>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</si>
  <si>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</si>
  <si>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</si>
  <si>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</si>
  <si>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</si>
  <si>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</si>
  <si>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</si>
  <si>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</si>
  <si>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</si>
  <si>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</si>
  <si>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</si>
  <si>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</si>
  <si>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</si>
  <si>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</si>
  <si>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</si>
  <si>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</si>
  <si>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</si>
  <si>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</si>
  <si>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</si>
  <si>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</si>
  <si>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</si>
  <si>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</si>
  <si>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</si>
  <si>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</si>
  <si>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</si>
  <si>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</si>
  <si>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</si>
  <si>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</si>
  <si>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</si>
  <si>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</si>
  <si>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</si>
  <si>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</si>
  <si>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</si>
  <si>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</si>
  <si>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</si>
  <si>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</si>
  <si>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</si>
  <si>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</si>
  <si>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</si>
  <si>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</si>
  <si>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</si>
  <si>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</si>
  <si>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</si>
  <si>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</si>
  <si>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</si>
  <si>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</si>
  <si>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</si>
  <si>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</si>
  <si>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</si>
  <si>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</si>
  <si>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</si>
  <si>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</si>
  <si>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</si>
  <si>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</si>
  <si>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</si>
  <si>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</si>
  <si>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</si>
  <si>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</si>
  <si>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</si>
  <si>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</si>
  <si>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</si>
  <si>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</si>
  <si>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</si>
  <si>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</si>
  <si>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</si>
  <si>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</si>
  <si>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</si>
  <si>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</si>
  <si>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</si>
  <si>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</si>
  <si>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</si>
  <si>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</si>
  <si>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</si>
  <si>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</si>
  <si>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</si>
  <si>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</si>
  <si>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</si>
  <si>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</si>
  <si>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</si>
  <si>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</si>
  <si>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</si>
  <si>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</si>
  <si>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</si>
  <si>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</si>
  <si>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</si>
  <si>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</si>
  <si>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</si>
  <si>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</si>
  <si>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</si>
  <si>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</si>
  <si>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</si>
  <si>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</si>
  <si>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</si>
  <si>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</si>
  <si>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</si>
  <si>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</si>
  <si>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</si>
  <si>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</si>
  <si>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</si>
  <si>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</si>
  <si>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</si>
  <si>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</si>
  <si>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</si>
  <si>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</si>
  <si>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</si>
  <si>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</si>
  <si>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</si>
  <si>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</si>
  <si>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</si>
  <si>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</si>
  <si>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</si>
  <si>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</si>
  <si>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</si>
  <si>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</si>
  <si>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</si>
  <si>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</si>
  <si>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</si>
  <si>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</si>
  <si>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</si>
  <si>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</si>
  <si>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</si>
  <si>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</si>
  <si>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</si>
  <si>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</si>
  <si>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</si>
  <si>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</si>
  <si>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</si>
  <si>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</si>
  <si>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</si>
  <si>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</si>
  <si>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</si>
  <si>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</si>
  <si>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</si>
  <si>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</si>
  <si>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</si>
  <si>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</si>
  <si>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</si>
  <si>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</si>
  <si>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</si>
  <si>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</si>
  <si>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</si>
  <si>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</si>
  <si>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</si>
  <si>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</si>
  <si>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</si>
  <si>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</si>
  <si>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</si>
  <si>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</si>
  <si>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</si>
  <si>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</si>
  <si>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</si>
  <si>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</si>
  <si>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</si>
  <si>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</si>
  <si>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</si>
  <si>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</si>
  <si>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</si>
  <si>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</si>
  <si>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</si>
  <si>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</si>
  <si>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</si>
  <si>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</si>
  <si>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</si>
  <si>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</si>
  <si>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</si>
  <si>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</si>
  <si>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</si>
  <si>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</si>
  <si>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</si>
  <si>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</si>
  <si>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</si>
  <si>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</si>
  <si>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</si>
  <si>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</si>
  <si>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</si>
  <si>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</si>
  <si>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</si>
  <si>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</si>
  <si>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</si>
  <si>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</si>
  <si>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</si>
  <si>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</si>
  <si>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</si>
  <si>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</si>
  <si>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</si>
  <si>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</si>
  <si>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</si>
  <si>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</si>
  <si>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</si>
  <si>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</si>
  <si>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</si>
  <si>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</si>
  <si>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</si>
  <si>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</si>
  <si>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</si>
  <si>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</si>
  <si>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</si>
  <si>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</si>
  <si>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</si>
  <si>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</si>
  <si>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</si>
  <si>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</si>
  <si>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</si>
  <si>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</si>
  <si>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</si>
  <si>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</si>
  <si>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</si>
  <si>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</si>
  <si>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</si>
  <si>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</si>
  <si>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</si>
  <si>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</si>
  <si>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</si>
  <si>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</si>
  <si>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</si>
  <si>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</si>
  <si>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</si>
  <si>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</si>
  <si>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</si>
  <si>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</si>
  <si>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</si>
  <si>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</si>
  <si>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</si>
  <si>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</si>
  <si>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</si>
  <si>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</si>
  <si>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</si>
  <si>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</si>
  <si>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</si>
  <si>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</si>
  <si>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</si>
  <si>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</si>
  <si>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</si>
  <si>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</si>
  <si>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</si>
  <si>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</si>
  <si>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</si>
  <si>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</si>
  <si>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</si>
  <si>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</si>
  <si>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</si>
  <si>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</si>
  <si>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</si>
  <si>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</si>
  <si>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</si>
  <si>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</si>
  <si>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</si>
  <si>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</si>
  <si>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</si>
  <si>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</si>
  <si>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</si>
  <si>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</si>
  <si>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</si>
  <si>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</si>
  <si>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</si>
  <si>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</si>
  <si>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</si>
  <si>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</si>
  <si>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</si>
  <si>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</si>
  <si>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</si>
  <si>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</si>
  <si>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</si>
  <si>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</si>
  <si>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</si>
  <si>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</si>
  <si>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</si>
  <si>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</si>
  <si>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</si>
  <si>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</si>
  <si>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</si>
  <si>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</si>
  <si>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</si>
  <si>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</si>
  <si>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</si>
  <si>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</si>
  <si>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</si>
  <si>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</si>
  <si>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</si>
  <si>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</si>
  <si>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</si>
  <si>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</si>
  <si>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</si>
  <si>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</si>
  <si>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</si>
  <si>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</si>
  <si>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</si>
  <si>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</si>
  <si>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</si>
  <si>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</si>
  <si>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</si>
  <si>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</si>
  <si>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</si>
  <si>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</si>
  <si>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</si>
  <si>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</si>
  <si>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</si>
  <si>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</si>
  <si>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</si>
  <si>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</si>
  <si>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</si>
  <si>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</si>
  <si>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</si>
  <si>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</si>
  <si>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</si>
  <si>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</si>
  <si>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</si>
  <si>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</si>
  <si>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</si>
  <si>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</si>
  <si>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</si>
  <si>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</si>
  <si>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</si>
  <si>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</si>
  <si>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</si>
  <si>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</si>
  <si>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</si>
  <si>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</si>
  <si>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</si>
  <si>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</si>
  <si>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</si>
  <si>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</si>
  <si>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</si>
  <si>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</si>
  <si>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</si>
  <si>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</si>
  <si>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</si>
  <si>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</si>
  <si>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</si>
  <si>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</si>
  <si>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</si>
  <si>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</si>
  <si>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</si>
  <si>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</si>
  <si>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</si>
  <si>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</si>
  <si>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</si>
  <si>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</si>
  <si>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</si>
  <si>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</si>
  <si>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</si>
  <si>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</si>
  <si>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</si>
  <si>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</si>
  <si>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</si>
  <si>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</si>
  <si>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</si>
  <si>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</si>
  <si>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</si>
  <si>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</si>
  <si>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</si>
  <si>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</si>
  <si>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</si>
  <si>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</si>
  <si>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</si>
  <si>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</si>
  <si>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</si>
  <si>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</si>
  <si>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</si>
  <si>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</si>
  <si>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</si>
  <si>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</si>
  <si>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</si>
  <si>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</si>
  <si>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</si>
  <si>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</si>
  <si>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</si>
  <si>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</si>
  <si>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</si>
  <si>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</si>
  <si>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</si>
  <si>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</si>
  <si>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</si>
  <si>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</si>
  <si>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</si>
  <si>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</si>
  <si>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</si>
  <si>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</si>
  <si>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</si>
  <si>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</si>
  <si>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</si>
  <si>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</si>
  <si>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</si>
  <si>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</si>
  <si>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</si>
  <si>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</si>
  <si>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</si>
  <si>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</si>
  <si>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</si>
  <si>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</si>
  <si>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</si>
  <si>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</si>
  <si>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</si>
  <si>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</si>
  <si>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</si>
  <si>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</si>
  <si>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</si>
  <si>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</si>
  <si>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</si>
  <si>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</si>
  <si>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</si>
  <si>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</si>
  <si>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</si>
  <si>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</si>
  <si>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</si>
  <si>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</si>
  <si>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</si>
  <si>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</si>
  <si>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</si>
  <si>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</si>
  <si>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</si>
  <si>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</si>
  <si>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</si>
  <si>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</si>
  <si>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</si>
  <si>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</si>
  <si>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</si>
  <si>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</si>
  <si>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</si>
  <si>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</si>
  <si>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</si>
  <si>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</si>
  <si>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</si>
  <si>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</si>
  <si>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</si>
  <si>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</si>
  <si>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</si>
  <si>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</si>
  <si>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</si>
  <si>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</si>
  <si>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</si>
  <si>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</si>
  <si>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</si>
  <si>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</si>
  <si>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</si>
  <si>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</si>
  <si>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</si>
  <si>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</si>
  <si>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</si>
  <si>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</si>
  <si>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</si>
  <si>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</si>
  <si>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</si>
  <si>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</si>
  <si>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</si>
  <si>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</si>
  <si>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</si>
  <si>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</si>
  <si>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</si>
  <si>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</si>
  <si>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</si>
  <si>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</si>
  <si>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</si>
  <si>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</si>
  <si>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</si>
  <si>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</si>
  <si>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</si>
  <si>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</si>
  <si>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</si>
  <si>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</si>
  <si>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</si>
  <si>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</si>
  <si>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</si>
  <si>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</si>
  <si>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</si>
  <si>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</si>
  <si>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</si>
  <si>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</si>
  <si>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</si>
  <si>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</si>
  <si>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</si>
  <si>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</si>
  <si>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</si>
  <si>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</si>
  <si>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</si>
  <si>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</si>
  <si>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</si>
  <si>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</si>
  <si>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</si>
  <si>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</si>
  <si>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</si>
  <si>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</si>
  <si>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</si>
  <si>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</si>
  <si>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</si>
  <si>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</si>
  <si>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</si>
  <si>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</si>
  <si>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</si>
  <si>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</si>
  <si>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</si>
  <si>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</si>
  <si>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</si>
  <si>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</si>
  <si>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</si>
  <si>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</si>
  <si>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</si>
  <si>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</si>
  <si>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</si>
  <si>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</si>
  <si>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</si>
  <si>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</si>
  <si>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</si>
  <si>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</si>
  <si>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</si>
  <si>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</si>
  <si>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</si>
  <si>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</si>
  <si>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</si>
  <si>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</si>
  <si>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</si>
  <si>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</si>
  <si>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</si>
  <si>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</si>
  <si>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</si>
  <si>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</si>
  <si>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</si>
  <si>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</si>
  <si>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</si>
  <si>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</si>
  <si>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</si>
  <si>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</si>
  <si>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</si>
  <si>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</si>
  <si>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</si>
  <si>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</si>
  <si>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</si>
  <si>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</si>
  <si>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</si>
  <si>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</si>
  <si>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</si>
  <si>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</si>
  <si>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</si>
  <si>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</si>
  <si>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</si>
  <si>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</si>
  <si>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</si>
  <si>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</si>
  <si>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</si>
  <si>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</si>
  <si>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</si>
  <si>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</si>
  <si>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</si>
  <si>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</si>
  <si>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</si>
  <si>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</si>
  <si>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</si>
  <si>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</si>
  <si>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</si>
  <si>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</si>
  <si>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</si>
  <si>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</si>
  <si>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</si>
  <si>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</si>
  <si>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</si>
  <si>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</si>
  <si>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</si>
  <si>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</si>
  <si>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</si>
  <si>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</si>
  <si>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</si>
  <si>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</si>
  <si>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</si>
  <si>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</si>
  <si>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</si>
  <si>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</si>
  <si>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</si>
  <si>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</si>
  <si>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</si>
  <si>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</si>
  <si>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</si>
  <si>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</si>
  <si>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</si>
  <si>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</si>
  <si>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</si>
  <si>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</si>
  <si>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</si>
  <si>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</si>
  <si>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</si>
  <si>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</si>
  <si>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</si>
  <si>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</si>
  <si>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</si>
  <si>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</si>
  <si>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</si>
  <si>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</si>
  <si>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</si>
  <si>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</si>
  <si>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</si>
  <si>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</si>
  <si>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</si>
  <si>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</si>
  <si>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</si>
  <si>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</si>
  <si>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</si>
  <si>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</si>
  <si>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</si>
  <si>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</si>
  <si>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</si>
  <si>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</si>
  <si>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</si>
  <si>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</si>
  <si>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</si>
  <si>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</si>
  <si>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</si>
  <si>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</si>
  <si>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</si>
  <si>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</si>
  <si>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</si>
  <si>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</si>
  <si>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</si>
  <si>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</si>
  <si>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</si>
  <si>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</si>
  <si>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</si>
  <si>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</si>
  <si>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</si>
  <si>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</si>
  <si>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</si>
  <si>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</si>
  <si>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</si>
  <si>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</si>
  <si>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</si>
  <si>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</si>
  <si>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</si>
  <si>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</si>
  <si>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</si>
  <si>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</si>
  <si>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</si>
  <si>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</si>
  <si>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</si>
  <si>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</si>
  <si>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</si>
  <si>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</si>
  <si>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</si>
  <si>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</si>
  <si>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</si>
  <si>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</si>
  <si>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</si>
  <si>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</si>
  <si>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</si>
  <si>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</si>
  <si>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</si>
  <si>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</si>
  <si>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</si>
  <si>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</si>
  <si>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</si>
  <si>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</si>
  <si>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</si>
  <si>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</si>
  <si>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</si>
  <si>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</si>
  <si>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</si>
  <si>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</si>
  <si>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</si>
  <si>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</si>
  <si>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</si>
  <si>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</si>
  <si>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</si>
  <si>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</si>
  <si>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</si>
  <si>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</si>
  <si>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</si>
  <si>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</si>
  <si>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</si>
  <si>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</si>
  <si>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</si>
  <si>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</si>
  <si>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</si>
  <si>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</si>
  <si>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</si>
  <si>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</si>
  <si>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</si>
  <si>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</si>
  <si>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</si>
  <si>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</si>
  <si>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</si>
  <si>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</si>
  <si>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</si>
  <si>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</si>
  <si>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</si>
  <si>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</si>
  <si>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</si>
  <si>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</si>
  <si>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</si>
  <si>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</si>
  <si>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</si>
  <si>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</si>
  <si>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</si>
  <si>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</si>
  <si>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</si>
  <si>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</si>
  <si>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</si>
  <si>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</si>
  <si>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</si>
  <si>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</si>
  <si>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</si>
  <si>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</si>
  <si>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</si>
  <si>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</si>
  <si>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</si>
  <si>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</si>
  <si>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</si>
  <si>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</si>
  <si>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</si>
  <si>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</si>
  <si>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</si>
  <si>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</si>
  <si>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</si>
  <si>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</si>
  <si>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</si>
  <si>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</si>
  <si>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</si>
  <si>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</si>
  <si>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</si>
  <si>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</si>
  <si>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</si>
  <si>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</si>
  <si>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</si>
  <si>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</si>
  <si>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</si>
  <si>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</si>
  <si>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</si>
  <si>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</si>
  <si>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</si>
  <si>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</si>
  <si>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</si>
  <si>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</si>
  <si>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</si>
  <si>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</si>
  <si>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</si>
  <si>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</si>
  <si>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</si>
  <si>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</si>
  <si>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</si>
  <si>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</si>
  <si>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</si>
  <si>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</si>
  <si>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</si>
  <si>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</si>
  <si>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</si>
  <si>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</si>
  <si>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</si>
  <si>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</si>
  <si>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</si>
  <si>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</si>
  <si>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</si>
  <si>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</si>
  <si>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</si>
  <si>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</si>
  <si>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</si>
  <si>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</si>
  <si>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</si>
  <si>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</si>
  <si>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</si>
  <si>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</si>
  <si>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</si>
  <si>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</si>
  <si>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</si>
  <si>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</si>
  <si>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</si>
  <si>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</si>
  <si>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</si>
  <si>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</si>
  <si>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</si>
  <si>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</si>
  <si>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</si>
  <si>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</si>
  <si>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</si>
  <si>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</si>
  <si>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</si>
  <si>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</si>
  <si>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</si>
  <si>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</si>
  <si>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</si>
  <si>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</si>
  <si>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</si>
  <si>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</si>
  <si>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</si>
  <si>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</si>
  <si>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</si>
  <si>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</si>
  <si>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</si>
  <si>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</si>
  <si>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</si>
  <si>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</si>
  <si>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</si>
  <si>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</si>
  <si>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</si>
  <si>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</si>
  <si>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</si>
  <si>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</si>
  <si>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</si>
  <si>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</si>
  <si>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</si>
  <si>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</si>
  <si>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</si>
  <si>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</si>
  <si>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</si>
  <si>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</si>
  <si>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</si>
  <si>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</si>
  <si>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</si>
  <si>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</si>
  <si>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</si>
  <si>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</si>
  <si>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</si>
  <si>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</si>
  <si>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</si>
  <si>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</si>
  <si>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</si>
  <si>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</si>
  <si>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</si>
  <si>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</si>
  <si>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</si>
  <si>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</si>
  <si>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</si>
  <si>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</si>
  <si>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</si>
  <si>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</si>
  <si>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</si>
  <si>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</si>
  <si>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</si>
  <si>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</si>
  <si>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</si>
  <si>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</si>
  <si>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</si>
  <si>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</si>
  <si>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</si>
  <si>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</si>
  <si>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</si>
  <si>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</si>
  <si>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</si>
  <si>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</si>
  <si>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</si>
  <si>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</si>
  <si>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</si>
  <si>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</si>
  <si>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</si>
  <si>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</si>
  <si>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</si>
  <si>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</si>
  <si>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</si>
  <si>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</si>
  <si>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</si>
  <si>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</si>
  <si>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</si>
  <si>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</si>
  <si>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</si>
  <si>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</si>
  <si>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</si>
  <si>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</si>
  <si>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</si>
  <si>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</si>
  <si>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</si>
  <si>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</si>
  <si>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</si>
  <si>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</si>
  <si>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</si>
  <si>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</si>
  <si>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</si>
  <si>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</si>
  <si>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</si>
  <si>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</si>
  <si>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</si>
  <si>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</si>
  <si>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</si>
  <si>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</si>
  <si>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</si>
  <si>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</si>
  <si>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</si>
  <si>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</si>
  <si>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</si>
  <si>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</si>
  <si>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</si>
  <si>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</si>
  <si>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</si>
  <si>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</si>
  <si>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</si>
  <si>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</si>
  <si>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</si>
  <si>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</si>
  <si>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</si>
  <si>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</si>
  <si>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</si>
  <si>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</si>
  <si>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</si>
  <si>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</si>
  <si>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</si>
  <si>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</si>
  <si>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</si>
  <si>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</si>
  <si>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</si>
  <si>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</si>
  <si>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</si>
  <si>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</si>
  <si>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</si>
  <si>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</si>
  <si>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</si>
  <si>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</si>
  <si>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</si>
  <si>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</si>
  <si>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</si>
  <si>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</si>
  <si>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</si>
  <si>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</si>
  <si>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</si>
  <si>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</si>
  <si>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</si>
  <si>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</si>
  <si>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</si>
  <si>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</si>
  <si>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</si>
  <si>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</si>
  <si>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</si>
  <si>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</si>
  <si>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</si>
  <si>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</si>
  <si>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</si>
  <si>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</si>
  <si>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</si>
  <si>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</si>
  <si>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</si>
  <si>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</si>
  <si>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</si>
  <si>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</si>
  <si>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</si>
  <si>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</si>
  <si>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</si>
  <si>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</si>
  <si>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</si>
  <si>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</si>
  <si>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</si>
  <si>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</si>
  <si>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</si>
  <si>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</si>
  <si>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</si>
  <si>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</si>
  <si>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</si>
  <si>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</si>
  <si>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</si>
  <si>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</si>
  <si>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</si>
  <si>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</si>
  <si>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</si>
  <si>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</si>
  <si>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</si>
  <si>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</si>
  <si>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</si>
  <si>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</si>
  <si>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</si>
  <si>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</si>
  <si>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</si>
  <si>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</si>
  <si>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</si>
  <si>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</si>
  <si>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</si>
  <si>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</si>
  <si>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</si>
  <si>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</si>
  <si>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</si>
  <si>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</si>
  <si>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</si>
  <si>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</si>
  <si>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</si>
  <si>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</si>
  <si>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</si>
  <si>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</si>
  <si>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</si>
  <si>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</si>
  <si>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</si>
  <si>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</si>
  <si>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</si>
  <si>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</si>
  <si>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</si>
  <si>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</si>
  <si>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</si>
  <si>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</si>
  <si>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</si>
  <si>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</si>
  <si>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</si>
  <si>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</si>
  <si>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</si>
  <si>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</si>
  <si>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</si>
  <si>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</si>
  <si>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</si>
  <si>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</si>
  <si>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</si>
  <si>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</si>
  <si>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</si>
  <si>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</si>
  <si>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</si>
  <si>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</si>
  <si>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</si>
  <si>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</si>
  <si>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</si>
  <si>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</si>
  <si>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</si>
  <si>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</si>
  <si>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</si>
  <si>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</si>
  <si>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</si>
  <si>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</si>
  <si>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</si>
  <si>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</si>
  <si>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</si>
  <si>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</si>
  <si>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</si>
  <si>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</si>
  <si>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</si>
  <si>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</si>
  <si>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</si>
  <si>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</si>
  <si>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</si>
  <si>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</si>
  <si>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</si>
  <si>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</si>
  <si>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</si>
  <si>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</si>
  <si>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</si>
  <si>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</si>
  <si>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</si>
  <si>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</si>
  <si>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</si>
  <si>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</si>
  <si>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</si>
  <si>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</si>
  <si>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</si>
  <si>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</si>
  <si>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</si>
  <si>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</si>
  <si>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</si>
  <si>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</si>
  <si>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</si>
  <si>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</si>
  <si>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</si>
  <si>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</si>
  <si>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</si>
  <si>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</si>
  <si>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</si>
  <si>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</si>
  <si>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</si>
  <si>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</si>
  <si>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</si>
  <si>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</si>
  <si>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</si>
  <si>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</si>
  <si>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</si>
  <si>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</si>
  <si>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</si>
  <si>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</si>
  <si>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</si>
  <si>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</si>
  <si>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</si>
  <si>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</si>
  <si>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</si>
  <si>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</si>
  <si>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</si>
  <si>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</si>
  <si>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</si>
  <si>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</si>
  <si>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</si>
  <si>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</si>
  <si>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</si>
  <si>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</si>
  <si>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</si>
  <si>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</si>
  <si>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</si>
  <si>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</si>
  <si>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</si>
  <si>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</si>
  <si>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</si>
  <si>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</si>
  <si>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</si>
  <si>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</si>
  <si>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</si>
  <si>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</si>
  <si>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</si>
  <si>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</si>
  <si>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</si>
  <si>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</si>
  <si>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</si>
  <si>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</si>
  <si>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</si>
  <si>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</si>
  <si>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</si>
  <si>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</si>
  <si>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</si>
  <si>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</si>
  <si>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</si>
  <si>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</si>
  <si>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</si>
  <si>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</si>
  <si>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</si>
  <si>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</si>
  <si>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</si>
  <si>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</si>
  <si>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</si>
  <si>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</si>
  <si>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</si>
  <si>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</si>
  <si>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</si>
  <si>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</si>
  <si>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</si>
  <si>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</si>
  <si>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</si>
  <si>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</si>
  <si>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</si>
  <si>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</si>
  <si>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</si>
  <si>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</si>
  <si>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</si>
  <si>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</si>
  <si>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</si>
  <si>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</si>
  <si>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</si>
  <si>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</si>
  <si>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</si>
  <si>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</si>
  <si>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</si>
  <si>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</si>
  <si>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</si>
  <si>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</si>
  <si>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</si>
  <si>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</si>
  <si>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</si>
  <si>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</si>
  <si>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</si>
  <si>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</si>
  <si>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</si>
  <si>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</si>
  <si>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</si>
  <si>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</si>
  <si>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</si>
  <si>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</si>
  <si>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</si>
  <si>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</si>
  <si>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</si>
  <si>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</si>
  <si>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</si>
  <si>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</si>
  <si>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</si>
  <si>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</si>
  <si>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</si>
  <si>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</si>
  <si>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</si>
  <si>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</si>
  <si>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</si>
  <si>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</si>
  <si>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</si>
  <si>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</si>
  <si>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</si>
  <si>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</si>
  <si>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</si>
  <si>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</si>
  <si>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</si>
  <si>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</si>
  <si>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</si>
  <si>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</si>
  <si>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</si>
  <si>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</si>
  <si>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</si>
  <si>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</si>
  <si>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</si>
  <si>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</si>
  <si>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</si>
  <si>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</si>
  <si>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</si>
  <si>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</si>
  <si>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</si>
  <si>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</si>
  <si>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</si>
  <si>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</si>
  <si>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</si>
  <si>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</si>
  <si>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</si>
  <si>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</si>
  <si>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</si>
  <si>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</si>
  <si>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</si>
  <si>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</si>
  <si>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</si>
  <si>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</si>
  <si>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</si>
  <si>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</si>
  <si>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</si>
  <si>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</si>
  <si>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</si>
  <si>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</si>
  <si>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</si>
  <si>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</si>
  <si>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</si>
  <si>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</si>
  <si>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</si>
  <si>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</si>
  <si>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</si>
  <si>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</si>
  <si>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</si>
  <si>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</si>
  <si>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</si>
  <si>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</si>
  <si>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</si>
  <si>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</si>
  <si>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</si>
  <si>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</si>
  <si>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</si>
  <si>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</si>
  <si>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</si>
  <si>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</si>
  <si>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</si>
  <si>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</si>
  <si>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</si>
  <si>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</si>
  <si>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</si>
  <si>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</si>
  <si>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</si>
  <si>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</si>
  <si>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</si>
  <si>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</si>
  <si>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</si>
  <si>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</si>
  <si>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</si>
  <si>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</si>
  <si>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</si>
  <si>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</si>
  <si>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</si>
  <si>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</si>
  <si>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</si>
  <si>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</si>
  <si>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</si>
  <si>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</si>
  <si>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</si>
  <si>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</si>
  <si>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</si>
  <si>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</si>
  <si>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</si>
  <si>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</si>
  <si>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</si>
  <si>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</si>
  <si>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</si>
  <si>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</si>
  <si>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</si>
  <si>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</si>
  <si>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</si>
  <si>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</si>
  <si>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</si>
  <si>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</si>
  <si>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</si>
  <si>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</si>
  <si>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</si>
  <si>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</si>
  <si>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</si>
  <si>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</si>
  <si>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</si>
  <si>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</si>
  <si>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</si>
  <si>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</si>
  <si>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</si>
  <si>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</si>
  <si>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</si>
  <si>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</si>
  <si>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</si>
  <si>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</si>
  <si>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</si>
  <si>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</si>
  <si>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</si>
  <si>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</si>
  <si>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</si>
  <si>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</si>
  <si>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</si>
  <si>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</si>
  <si>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</si>
  <si>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</si>
  <si>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</si>
  <si>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</si>
  <si>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</si>
  <si>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</si>
  <si>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</si>
  <si>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</si>
  <si>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</si>
  <si>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</si>
  <si>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</si>
  <si>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</si>
  <si>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</si>
  <si>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</si>
  <si>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</si>
  <si>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</si>
  <si>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</si>
  <si>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</si>
  <si>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</si>
  <si>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</si>
  <si>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</si>
  <si>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</si>
  <si>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</si>
  <si>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</si>
  <si>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</si>
  <si>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</si>
  <si>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</si>
  <si>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</si>
  <si>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</si>
  <si>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</si>
  <si>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</si>
  <si>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</si>
  <si>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</si>
  <si>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</si>
  <si>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</si>
  <si>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</si>
  <si>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</si>
  <si>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</si>
  <si>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</si>
  <si>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</si>
  <si>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</si>
  <si>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</si>
  <si>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</si>
  <si>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</si>
  <si>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</si>
  <si>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</si>
  <si>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</si>
  <si>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</si>
  <si>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</si>
  <si>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</si>
  <si>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</si>
  <si>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</si>
  <si>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</si>
  <si>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</si>
  <si>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</si>
  <si>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</si>
  <si>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</si>
  <si>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</si>
  <si>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</si>
  <si>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</si>
  <si>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</si>
  <si>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</si>
  <si>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</si>
  <si>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</si>
  <si>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</si>
  <si>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</si>
  <si>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</si>
  <si>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</si>
  <si>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</si>
  <si>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</si>
  <si>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</si>
  <si>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</si>
  <si>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</si>
  <si>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</si>
  <si>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</si>
  <si>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</si>
  <si>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</si>
  <si>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</si>
  <si>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</si>
  <si>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</si>
  <si>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</si>
  <si>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</si>
  <si>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</si>
  <si>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</si>
  <si>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</si>
  <si>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</si>
  <si>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</si>
  <si>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</si>
  <si>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</si>
  <si>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</si>
  <si>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</si>
  <si>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</si>
  <si>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</si>
  <si>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</si>
  <si>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</si>
  <si>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</si>
  <si>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</si>
  <si>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</si>
  <si>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</si>
  <si>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</si>
  <si>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</si>
  <si>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</si>
  <si>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</si>
  <si>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</si>
  <si>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</si>
  <si>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</si>
  <si>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</si>
  <si>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</si>
  <si>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</si>
  <si>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</si>
  <si>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</si>
  <si>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</si>
  <si>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</si>
  <si>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</si>
  <si>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</si>
  <si>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</si>
  <si>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</si>
  <si>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</si>
  <si>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</si>
  <si>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</si>
  <si>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</si>
  <si>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</si>
  <si>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</si>
  <si>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</si>
  <si>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</si>
  <si>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</si>
  <si>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</si>
  <si>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</si>
  <si>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</si>
  <si>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</si>
  <si>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</si>
  <si>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</si>
  <si>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</si>
  <si>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</si>
  <si>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</si>
  <si>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</si>
  <si>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</si>
  <si>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</si>
  <si>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</si>
  <si>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</si>
  <si>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</si>
  <si>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</si>
  <si>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</si>
  <si>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</si>
  <si>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</si>
  <si>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</si>
  <si>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</si>
  <si>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</si>
  <si>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</si>
  <si>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</si>
  <si>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</si>
  <si>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</si>
  <si>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</si>
  <si>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</si>
  <si>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</si>
  <si>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</si>
  <si>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</si>
  <si>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</si>
  <si>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</si>
  <si>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</si>
  <si>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</si>
  <si>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</si>
  <si>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</si>
  <si>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</si>
  <si>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</si>
  <si>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</si>
  <si>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</si>
  <si>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</si>
  <si>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</si>
  <si>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</si>
  <si>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</si>
  <si>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</si>
  <si>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</si>
  <si>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</si>
  <si>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</si>
  <si>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</si>
  <si>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</si>
  <si>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</si>
  <si>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</si>
  <si>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</si>
  <si>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</si>
  <si>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</si>
  <si>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</si>
  <si>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</si>
  <si>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</si>
  <si>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</si>
  <si>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</si>
  <si>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</si>
  <si>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</si>
  <si>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</si>
  <si>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</si>
  <si>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</si>
  <si>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</si>
  <si>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</si>
  <si>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</si>
  <si>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</si>
  <si>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</si>
  <si>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</si>
  <si>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</si>
  <si>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</si>
  <si>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</si>
  <si>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</si>
  <si>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</si>
  <si>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</si>
  <si>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</si>
  <si>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</si>
  <si>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</si>
  <si>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</si>
  <si>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</si>
  <si>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</si>
  <si>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</si>
  <si>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</si>
  <si>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</si>
  <si>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</si>
  <si>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</si>
  <si>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</si>
  <si>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</si>
  <si>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</si>
  <si>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</si>
  <si>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</si>
  <si>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</si>
  <si>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</si>
  <si>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</si>
  <si>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</si>
  <si>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</si>
  <si>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</si>
  <si>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</si>
  <si>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</si>
  <si>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</si>
  <si>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</si>
  <si>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</si>
  <si>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</si>
  <si>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</si>
  <si>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</si>
  <si>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</si>
  <si>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</si>
  <si>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</si>
  <si>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</si>
  <si>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</si>
  <si>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</si>
  <si>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</si>
  <si>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</si>
  <si>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</si>
  <si>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</si>
  <si>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</si>
  <si>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</si>
  <si>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</si>
  <si>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</si>
  <si>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</si>
  <si>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</si>
  <si>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</si>
  <si>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</si>
  <si>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</si>
  <si>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</si>
  <si>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</si>
  <si>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</si>
  <si>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</si>
  <si>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</si>
  <si>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</si>
  <si>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</si>
  <si>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</si>
  <si>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</si>
  <si>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</si>
  <si>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</si>
  <si>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</si>
  <si>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</si>
  <si>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</si>
  <si>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</si>
  <si>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</si>
  <si>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</si>
  <si>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</si>
  <si>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</si>
  <si>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</si>
  <si>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</si>
  <si>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</si>
  <si>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</si>
  <si>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</si>
  <si>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</si>
  <si>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</si>
  <si>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</si>
  <si>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</si>
  <si>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</si>
  <si>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</si>
  <si>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</si>
  <si>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</si>
  <si>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</si>
  <si>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</si>
  <si>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</si>
  <si>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</si>
  <si>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</si>
  <si>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</si>
  <si>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</si>
  <si>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</si>
  <si>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</si>
  <si>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</si>
  <si>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</si>
  <si>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</si>
  <si>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</si>
  <si>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</si>
  <si>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</si>
  <si>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</si>
  <si>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</si>
  <si>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</si>
  <si>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</si>
  <si>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</si>
  <si>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</si>
  <si>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</si>
  <si>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</si>
  <si>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</si>
  <si>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</si>
  <si>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</si>
  <si>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</si>
  <si>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</si>
  <si>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</si>
  <si>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</si>
  <si>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</si>
  <si>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</si>
  <si>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</si>
  <si>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</si>
  <si>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</si>
  <si>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</si>
  <si>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</si>
  <si>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</si>
  <si>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</si>
  <si>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</si>
  <si>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</si>
  <si>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</si>
  <si>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</si>
  <si>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</si>
  <si>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</si>
  <si>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</si>
  <si>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</si>
  <si>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</si>
  <si>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</si>
  <si>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</si>
  <si>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</si>
  <si>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</si>
  <si>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</si>
  <si>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</si>
  <si>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</si>
  <si>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</si>
  <si>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</si>
  <si>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</si>
  <si>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</si>
  <si>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</si>
  <si>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</si>
  <si>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</si>
  <si>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</si>
  <si>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</si>
  <si>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</si>
  <si>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</si>
  <si>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</si>
  <si>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</si>
  <si>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</si>
  <si>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</si>
  <si>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</si>
  <si>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</si>
  <si>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</si>
  <si>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</si>
  <si>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</si>
  <si>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</si>
  <si>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</si>
  <si>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</si>
  <si>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</si>
  <si>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</si>
  <si>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</si>
  <si>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</si>
  <si>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</si>
  <si>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</si>
  <si>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</si>
  <si>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</si>
  <si>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</si>
  <si>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</si>
  <si>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</si>
  <si>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</si>
  <si>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</si>
  <si>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</si>
  <si>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</si>
  <si>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</si>
  <si>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</si>
  <si>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</si>
  <si>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</si>
  <si>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</si>
  <si>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</si>
  <si>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</si>
  <si>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</si>
  <si>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</si>
  <si>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</si>
  <si>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</si>
  <si>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</si>
  <si>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</si>
  <si>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</si>
  <si>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</si>
  <si>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</si>
  <si>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</si>
  <si>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</si>
  <si>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</si>
  <si>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</si>
  <si>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</si>
  <si>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</si>
  <si>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</si>
  <si>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</si>
  <si>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</si>
  <si>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</si>
  <si>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</si>
  <si>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</si>
  <si>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</si>
  <si>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</si>
  <si>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</si>
  <si>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</si>
  <si>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</si>
  <si>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</si>
  <si>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</si>
  <si>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</si>
  <si>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</si>
  <si>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</si>
  <si>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</si>
  <si>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</si>
  <si>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</si>
  <si>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</si>
  <si>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</si>
  <si>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</si>
  <si>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</si>
  <si>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</si>
  <si>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</si>
  <si>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</si>
  <si>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</si>
  <si>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</si>
  <si>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</si>
  <si>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</si>
  <si>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</si>
  <si>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</si>
  <si>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</si>
  <si>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</si>
  <si>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</si>
  <si>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</si>
  <si>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</si>
  <si>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</si>
  <si>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</si>
  <si>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</si>
  <si>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</si>
  <si>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</si>
  <si>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</si>
  <si>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</si>
  <si>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</si>
  <si>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</si>
  <si>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</si>
  <si>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</si>
  <si>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</si>
  <si>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</si>
  <si>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</si>
  <si>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</si>
  <si>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</si>
  <si>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</si>
  <si>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</si>
  <si>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</si>
  <si>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</si>
  <si>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</si>
  <si>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</si>
  <si>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</si>
  <si>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</si>
  <si>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</si>
  <si>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</si>
  <si>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</si>
  <si>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</si>
  <si>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</si>
  <si>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</si>
  <si>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</si>
  <si>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</si>
  <si>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</si>
  <si>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</si>
  <si>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</si>
  <si>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</si>
  <si>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</si>
  <si>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</si>
  <si>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</si>
  <si>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</si>
  <si>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</si>
  <si>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</si>
  <si>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</si>
  <si>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</si>
  <si>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</si>
  <si>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</si>
  <si>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</si>
  <si>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</si>
  <si>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</si>
  <si>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</si>
  <si>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</si>
  <si>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</si>
  <si>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</si>
  <si>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</si>
  <si>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</si>
  <si>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</si>
  <si>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</si>
  <si>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</si>
  <si>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</si>
  <si>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</si>
  <si>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</si>
  <si>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</si>
  <si>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</si>
  <si>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</si>
  <si>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</si>
  <si>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</si>
  <si>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</si>
  <si>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</si>
  <si>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</si>
  <si>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</si>
  <si>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</si>
  <si>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</si>
  <si>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</si>
  <si>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</si>
  <si>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</si>
  <si>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</si>
  <si>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</si>
  <si>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</si>
  <si>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</si>
  <si>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</si>
  <si>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</si>
  <si>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</si>
  <si>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</si>
  <si>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</si>
  <si>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</si>
  <si>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</si>
  <si>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</si>
  <si>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</si>
  <si>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</si>
  <si>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</si>
  <si>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</si>
  <si>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</si>
  <si>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</si>
  <si>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</si>
  <si>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</si>
  <si>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</si>
  <si>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</si>
  <si>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</si>
  <si>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</si>
  <si>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</si>
  <si>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</si>
  <si>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</si>
  <si>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</si>
  <si>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</si>
  <si>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</si>
  <si>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</si>
  <si>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</si>
  <si>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</si>
  <si>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</si>
  <si>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</si>
  <si>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</si>
  <si>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</si>
  <si>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</si>
  <si>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</si>
  <si>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</si>
  <si>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</si>
  <si>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</si>
  <si>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</si>
  <si>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</si>
  <si>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</si>
  <si>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</si>
  <si>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</si>
  <si>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</si>
  <si>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</si>
  <si>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</si>
  <si>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</si>
  <si>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</si>
  <si>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</si>
  <si>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</si>
  <si>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</si>
  <si>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</si>
  <si>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</si>
  <si>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</si>
  <si>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</si>
  <si>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</si>
  <si>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</si>
  <si>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</si>
  <si>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</si>
  <si>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</si>
  <si>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</si>
  <si>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</si>
  <si>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</si>
  <si>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</si>
  <si>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</si>
  <si>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</si>
  <si>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</si>
  <si>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</si>
  <si>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</si>
  <si>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</si>
  <si>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</si>
  <si>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</si>
  <si>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</si>
  <si>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</si>
  <si>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</si>
  <si>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</si>
  <si>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</si>
  <si>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</si>
  <si>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</si>
  <si>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</si>
  <si>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</si>
  <si>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</si>
  <si>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</si>
  <si>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</si>
  <si>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</si>
  <si>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</si>
  <si>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</si>
  <si>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</si>
  <si>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</si>
  <si>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</si>
  <si>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</si>
  <si>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</si>
  <si>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</si>
  <si>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</si>
  <si>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</si>
  <si>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</si>
  <si>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</si>
  <si>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</si>
  <si>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</si>
  <si>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</si>
  <si>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</si>
  <si>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</si>
  <si>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</si>
  <si>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</si>
  <si>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</si>
  <si>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</si>
  <si>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</si>
  <si>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</si>
  <si>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</si>
  <si>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</si>
  <si>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</si>
  <si>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</si>
  <si>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</si>
  <si>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</si>
  <si>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</si>
  <si>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</si>
  <si>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</si>
  <si>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</si>
  <si>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</si>
  <si>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</si>
  <si>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</si>
  <si>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</si>
  <si>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</si>
  <si>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</si>
  <si>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</si>
  <si>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</si>
  <si>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</si>
  <si>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</si>
  <si>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</si>
  <si>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</si>
  <si>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</si>
  <si>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</si>
  <si>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</si>
  <si>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</si>
  <si>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</si>
  <si>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</si>
  <si>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</si>
  <si>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</si>
  <si>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</si>
  <si>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</si>
  <si>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</si>
  <si>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</si>
  <si>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</si>
  <si>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</si>
  <si>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</si>
  <si>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</si>
  <si>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</si>
  <si>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</si>
  <si>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</si>
  <si>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</si>
  <si>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</si>
  <si>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</si>
  <si>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</si>
  <si>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</si>
  <si>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</si>
  <si>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</si>
  <si>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</si>
  <si>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</si>
  <si>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</si>
  <si>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</si>
  <si>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</si>
  <si>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</si>
  <si>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</si>
  <si>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</si>
  <si>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</si>
  <si>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</si>
  <si>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</si>
  <si>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</si>
  <si>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</si>
  <si>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</si>
  <si>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</si>
  <si>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</si>
  <si>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</si>
  <si>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</si>
  <si>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</si>
  <si>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</si>
  <si>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</si>
  <si>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</si>
  <si>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</si>
  <si>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</si>
  <si>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</si>
  <si>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</si>
  <si>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</si>
  <si>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</si>
  <si>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</si>
  <si>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</si>
  <si>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</si>
  <si>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</si>
  <si>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</si>
  <si>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</si>
  <si>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</si>
  <si>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</si>
  <si>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</si>
  <si>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</si>
  <si>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</si>
  <si>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</si>
  <si>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</si>
  <si>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</si>
  <si>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</si>
  <si>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</si>
  <si>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</si>
  <si>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</si>
  <si>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</si>
  <si>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</si>
  <si>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</si>
  <si>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</si>
  <si>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</si>
  <si>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</si>
  <si>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</si>
  <si>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</si>
  <si>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</si>
  <si>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</si>
  <si>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</si>
  <si>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</si>
  <si>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</si>
  <si>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</si>
  <si>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</si>
  <si>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</si>
  <si>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</si>
  <si>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</si>
  <si>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</si>
  <si>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</si>
  <si>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</si>
  <si>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</si>
  <si>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</si>
  <si>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</si>
  <si>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</si>
  <si>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</si>
  <si>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</si>
  <si>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</si>
  <si>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</si>
  <si>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</si>
  <si>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</si>
  <si>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</si>
  <si>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</si>
  <si>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</si>
  <si>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</si>
  <si>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</si>
  <si>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</si>
  <si>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</si>
  <si>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</si>
  <si>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</si>
  <si>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</si>
  <si>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</si>
  <si>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</si>
  <si>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</si>
  <si>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</si>
  <si>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</si>
  <si>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</si>
  <si>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</si>
  <si>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</si>
  <si>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</si>
  <si>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</si>
  <si>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</si>
  <si>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</si>
  <si>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</si>
  <si>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</si>
  <si>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</si>
  <si>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</si>
  <si>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</si>
  <si>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</si>
  <si>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</si>
  <si>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</si>
  <si>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</si>
  <si>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</si>
  <si>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</si>
  <si>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</si>
  <si>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</si>
  <si>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</si>
  <si>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</si>
  <si>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</si>
  <si>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</si>
  <si>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</si>
  <si>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</si>
  <si>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</si>
  <si>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</si>
  <si>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</si>
  <si>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</si>
  <si>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</si>
  <si>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</si>
  <si>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</si>
  <si>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</si>
  <si>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</si>
  <si>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</si>
  <si>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</si>
  <si>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</si>
  <si>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</si>
  <si>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</si>
  <si>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</si>
  <si>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</si>
  <si>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</si>
  <si>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</si>
  <si>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</si>
  <si>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</si>
  <si>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</si>
  <si>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</si>
  <si>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</si>
  <si>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</si>
  <si>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</si>
  <si>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</si>
  <si>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</si>
  <si>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</si>
  <si>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</si>
  <si>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</si>
  <si>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</si>
  <si>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</si>
  <si>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</si>
  <si>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</si>
  <si>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</si>
  <si>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</si>
  <si>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</si>
  <si>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</si>
  <si>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</si>
  <si>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</si>
  <si>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</si>
  <si>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</si>
  <si>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</si>
  <si>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</si>
  <si>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</si>
  <si>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</si>
  <si>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</si>
  <si>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</si>
  <si>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</si>
  <si>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</si>
  <si>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</si>
  <si>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</si>
  <si>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</si>
  <si>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</si>
  <si>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</si>
  <si>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</si>
  <si>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</si>
  <si>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</si>
  <si>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</si>
  <si>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</si>
  <si>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</si>
  <si>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</si>
  <si>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</si>
  <si>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</si>
  <si>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</si>
  <si>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</si>
  <si>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</si>
  <si>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</si>
  <si>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</si>
  <si>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</si>
  <si>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</si>
  <si>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</si>
  <si>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</si>
  <si>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</si>
  <si>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</si>
  <si>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</si>
  <si>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</si>
  <si>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</si>
  <si>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</si>
  <si>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</si>
  <si>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</si>
  <si>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</si>
  <si>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</si>
  <si>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</si>
  <si>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</si>
  <si>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</si>
  <si>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</si>
  <si>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</si>
  <si>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</si>
  <si>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</si>
  <si>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</si>
  <si>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</si>
  <si>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</si>
  <si>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</si>
  <si>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</si>
  <si>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</si>
  <si>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</si>
  <si>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</si>
  <si>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</si>
  <si>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</si>
  <si>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</si>
  <si>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</si>
  <si>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</si>
  <si>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</si>
  <si>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</si>
  <si>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</si>
  <si>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</si>
  <si>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</si>
  <si>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</si>
  <si>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</si>
  <si>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</si>
  <si>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</si>
  <si>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</si>
  <si>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</si>
  <si>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</si>
  <si>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</si>
  <si>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</si>
  <si>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</si>
  <si>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</si>
  <si>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</si>
  <si>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</si>
  <si>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</si>
  <si>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</si>
  <si>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</si>
  <si>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</si>
  <si>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</si>
  <si>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</si>
  <si>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</si>
  <si>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</si>
  <si>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</si>
  <si>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</si>
  <si>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</si>
  <si>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</si>
  <si>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</si>
  <si>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</si>
  <si>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</si>
  <si>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</si>
  <si>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</si>
  <si>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</si>
  <si>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</si>
  <si>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</si>
  <si>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</si>
  <si>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</si>
  <si>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</si>
  <si>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</si>
  <si>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</si>
  <si>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</si>
  <si>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</si>
  <si>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</si>
  <si>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</si>
  <si>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</si>
  <si>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</si>
  <si>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</si>
  <si>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</si>
  <si>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</si>
  <si>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</si>
  <si>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</si>
  <si>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</si>
  <si>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</si>
  <si>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</si>
  <si>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</si>
  <si>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</si>
  <si>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</si>
  <si>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</si>
  <si>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</si>
  <si>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</si>
  <si>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</si>
  <si>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</si>
  <si>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</si>
  <si>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</si>
  <si>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</si>
  <si>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</si>
  <si>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</si>
  <si>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</si>
  <si>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</si>
  <si>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</si>
  <si>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</si>
  <si>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</si>
  <si>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</si>
  <si>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</si>
  <si>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</si>
  <si>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</si>
  <si>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</si>
  <si>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</si>
  <si>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</si>
  <si>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</si>
  <si>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</si>
  <si>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</si>
  <si>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</si>
  <si>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</si>
  <si>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</si>
  <si>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</si>
  <si>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</si>
  <si>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</si>
  <si>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</si>
  <si>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</si>
  <si>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</si>
  <si>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</si>
  <si>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</si>
  <si>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</si>
  <si>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</si>
  <si>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</si>
  <si>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</si>
  <si>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</si>
  <si>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</si>
  <si>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</si>
  <si>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</si>
  <si>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</si>
  <si>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</si>
  <si>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</si>
  <si>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</si>
  <si>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</si>
  <si>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</si>
  <si>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</si>
  <si>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</si>
  <si>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</si>
  <si>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</si>
  <si>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</si>
  <si>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</si>
  <si>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</si>
  <si>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</si>
  <si>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</si>
  <si>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</si>
  <si>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</si>
  <si>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</si>
  <si>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</si>
  <si>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</si>
  <si>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</si>
  <si>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</si>
  <si>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</si>
  <si>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</si>
  <si>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</si>
  <si>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</si>
  <si>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</si>
  <si>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</si>
  <si>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</si>
  <si>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</si>
  <si>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</si>
  <si>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</si>
  <si>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</si>
  <si>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</si>
  <si>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</si>
  <si>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</si>
  <si>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</si>
  <si>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</si>
  <si>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</si>
  <si>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</si>
  <si>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</si>
  <si>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</si>
  <si>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</si>
  <si>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</si>
  <si>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</si>
  <si>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</si>
  <si>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</si>
  <si>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</si>
  <si>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</si>
  <si>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</si>
  <si>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</si>
  <si>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</si>
  <si>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</si>
  <si>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</si>
  <si>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</si>
  <si>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</si>
  <si>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</si>
  <si>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</si>
  <si>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</si>
  <si>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</si>
  <si>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</si>
  <si>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</si>
  <si>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</si>
  <si>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</si>
  <si>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</si>
  <si>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</si>
  <si>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</si>
  <si>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</si>
  <si>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</si>
  <si>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</si>
  <si>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</si>
  <si>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</si>
  <si>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</si>
  <si>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</si>
  <si>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</si>
  <si>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</si>
  <si>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</si>
  <si>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</si>
  <si>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</si>
  <si>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</si>
  <si>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</si>
  <si>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</si>
  <si>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</si>
  <si>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</si>
  <si>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</si>
  <si>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</si>
  <si>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</si>
  <si>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</si>
  <si>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</si>
  <si>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</si>
  <si>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</si>
  <si>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</si>
  <si>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</si>
  <si>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</si>
  <si>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</si>
  <si>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</si>
  <si>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</si>
  <si>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</si>
  <si>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</si>
  <si>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</si>
  <si>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</si>
  <si>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</si>
  <si>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</si>
  <si>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</si>
  <si>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</si>
  <si>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</si>
  <si>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</si>
  <si>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</si>
  <si>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</si>
  <si>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</si>
  <si>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</si>
  <si>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</si>
  <si>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</si>
  <si>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</si>
  <si>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</si>
  <si>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</si>
  <si>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</si>
  <si>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</si>
  <si>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</si>
  <si>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</si>
  <si>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</si>
  <si>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</si>
  <si>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</si>
  <si>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</si>
  <si>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</si>
  <si>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</si>
  <si>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</si>
  <si>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</si>
  <si>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</si>
  <si>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</si>
  <si>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</si>
  <si>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</si>
  <si>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</si>
  <si>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</si>
  <si>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</si>
  <si>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</si>
  <si>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</si>
  <si>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</si>
  <si>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</si>
  <si>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</si>
  <si>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</si>
  <si>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</si>
  <si>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</si>
  <si>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</si>
  <si>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</si>
  <si>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</si>
  <si>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</si>
  <si>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</si>
  <si>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</si>
  <si>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</si>
  <si>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</si>
  <si>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</si>
  <si>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</si>
  <si>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</si>
  <si>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</si>
  <si>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</si>
  <si>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</si>
  <si>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</si>
  <si>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</si>
  <si>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</si>
  <si>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</si>
  <si>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</si>
  <si>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</si>
  <si>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</si>
  <si>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</si>
  <si>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</si>
  <si>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</si>
  <si>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</si>
  <si>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</si>
  <si>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</si>
  <si>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</si>
  <si>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</si>
  <si>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</si>
  <si>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</si>
  <si>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</si>
  <si>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</si>
  <si>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</si>
  <si>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</si>
  <si>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</si>
  <si>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</si>
  <si>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</si>
  <si>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</si>
  <si>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</si>
  <si>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</si>
  <si>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</si>
  <si>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</si>
  <si>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</si>
  <si>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</si>
  <si>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</si>
  <si>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</si>
  <si>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</si>
  <si>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</si>
  <si>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</si>
  <si>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</si>
  <si>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</si>
  <si>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</si>
  <si>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</si>
  <si>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</si>
  <si>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</si>
  <si>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</si>
  <si>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</si>
  <si>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</si>
  <si>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</si>
  <si>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</si>
  <si>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</si>
  <si>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</si>
  <si>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</si>
  <si>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</si>
  <si>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</si>
  <si>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</si>
  <si>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</si>
  <si>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</si>
  <si>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</si>
  <si>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</si>
  <si>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</si>
  <si>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</si>
  <si>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</si>
  <si>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</si>
  <si>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</si>
  <si>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</si>
  <si>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</si>
  <si>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</si>
  <si>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</si>
  <si>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</si>
  <si>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</si>
  <si>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</si>
  <si>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</si>
  <si>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</si>
  <si>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</si>
  <si>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</si>
  <si>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</si>
  <si>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</si>
  <si>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</si>
  <si>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</si>
  <si>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</si>
  <si>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</si>
  <si>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</si>
  <si>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</si>
  <si>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</si>
  <si>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</si>
  <si>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</si>
  <si>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</si>
  <si>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</si>
  <si>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</si>
  <si>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</si>
  <si>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</si>
  <si>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</si>
  <si>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</si>
  <si>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</si>
  <si>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</si>
  <si>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</si>
  <si>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</si>
  <si>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</si>
  <si>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</si>
  <si>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</si>
  <si>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</si>
  <si>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</si>
  <si>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</si>
  <si>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</si>
  <si>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</si>
  <si>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</si>
  <si>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</si>
  <si>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</si>
  <si>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</si>
  <si>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</si>
  <si>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</si>
  <si>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</si>
  <si>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</si>
  <si>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</si>
  <si>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</si>
  <si>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</si>
  <si>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</si>
  <si>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</si>
  <si>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</si>
  <si>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</si>
  <si>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</si>
  <si>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</si>
  <si>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</si>
  <si>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</si>
  <si>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</si>
  <si>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</si>
  <si>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</si>
  <si>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</si>
  <si>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</si>
  <si>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</si>
  <si>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</si>
  <si>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</si>
  <si>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</si>
  <si>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</si>
  <si>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</si>
  <si>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</si>
  <si>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</si>
  <si>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</si>
  <si>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</si>
  <si>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</si>
  <si>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</si>
  <si>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</si>
  <si>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</si>
  <si>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</si>
  <si>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</si>
  <si>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</si>
  <si>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</si>
  <si>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</si>
  <si>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</si>
  <si>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</si>
  <si>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</si>
  <si>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</si>
  <si>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</si>
  <si>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</si>
  <si>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</si>
  <si>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</si>
  <si>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</si>
  <si>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</si>
  <si>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</si>
  <si>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</si>
  <si>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</si>
  <si>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</si>
  <si>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</si>
  <si>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</si>
  <si>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</si>
  <si>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</si>
  <si>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</si>
  <si>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</si>
  <si>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</si>
  <si>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</si>
  <si>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</si>
  <si>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</si>
  <si>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</si>
  <si>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</si>
  <si>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</si>
  <si>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</si>
  <si>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</si>
  <si>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</si>
  <si>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</si>
  <si>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</si>
  <si>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</si>
  <si>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</si>
  <si>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</si>
  <si>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</si>
  <si>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</si>
  <si>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</si>
  <si>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</si>
  <si>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</si>
  <si>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</si>
  <si>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</si>
  <si>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</si>
  <si>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</si>
  <si>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</si>
  <si>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</si>
  <si>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</si>
  <si>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</si>
  <si>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</si>
  <si>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</si>
  <si>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</si>
  <si>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</si>
  <si>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</si>
  <si>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</si>
  <si>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</si>
  <si>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</si>
  <si>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</si>
  <si>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</si>
  <si>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</si>
  <si>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</si>
  <si>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</si>
  <si>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</si>
  <si>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</si>
  <si>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</si>
  <si>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</si>
  <si>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</si>
  <si>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</si>
  <si>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</si>
  <si>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</si>
  <si>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</si>
  <si>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</si>
  <si>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</si>
  <si>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</si>
  <si>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</si>
  <si>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</si>
  <si>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</si>
  <si>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</si>
  <si>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</si>
  <si>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</si>
  <si>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</si>
  <si>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</si>
  <si>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</si>
  <si>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</si>
  <si>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</si>
  <si>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</si>
  <si>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</si>
  <si>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</si>
  <si>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</si>
  <si>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</si>
  <si>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</si>
  <si>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</si>
  <si>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</si>
  <si>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</si>
  <si>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</si>
  <si>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</si>
  <si>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</si>
  <si>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</si>
  <si>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</si>
  <si>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</si>
  <si>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</si>
  <si>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</si>
  <si>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</si>
  <si>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</si>
  <si>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</si>
  <si>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</si>
  <si>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</si>
  <si>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</si>
  <si>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</si>
  <si>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</si>
  <si>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</si>
  <si>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</si>
  <si>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</si>
  <si>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</si>
  <si>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</si>
  <si>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</si>
  <si>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</si>
  <si>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</si>
  <si>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</si>
  <si>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</si>
  <si>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</si>
  <si>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</si>
  <si>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</si>
  <si>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</si>
  <si>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</si>
  <si>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</si>
  <si>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</si>
  <si>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</si>
  <si>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</si>
  <si>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</si>
  <si>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</si>
  <si>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</si>
  <si>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</si>
  <si>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</si>
  <si>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</si>
  <si>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</si>
  <si>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</si>
  <si>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</si>
  <si>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</si>
  <si>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</si>
  <si>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</si>
  <si>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</si>
  <si>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</si>
  <si>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</si>
  <si>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</si>
  <si>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</si>
  <si>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</si>
  <si>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</si>
  <si>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</si>
  <si>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</si>
  <si>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</si>
  <si>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</si>
  <si>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</si>
  <si>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</si>
  <si>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</si>
  <si>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</si>
  <si>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</si>
  <si>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</si>
  <si>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</si>
  <si>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</si>
  <si>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</si>
  <si>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</si>
  <si>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</si>
  <si>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</si>
  <si>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</si>
  <si>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</si>
  <si>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</si>
  <si>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</si>
  <si>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</si>
  <si>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</si>
  <si>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</si>
  <si>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</si>
  <si>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</si>
  <si>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</si>
  <si>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</si>
  <si>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</si>
  <si>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</si>
  <si>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</si>
  <si>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</si>
  <si>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</si>
  <si>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</si>
  <si>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</si>
  <si>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</si>
  <si>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</si>
  <si>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</si>
  <si>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</si>
  <si>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</si>
  <si>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</si>
  <si>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</si>
  <si>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</si>
  <si>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</si>
  <si>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</si>
  <si>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</si>
  <si>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</si>
  <si>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</si>
  <si>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</si>
  <si>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</si>
  <si>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</si>
  <si>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</si>
  <si>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</si>
  <si>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</si>
  <si>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</si>
  <si>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</si>
  <si>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</si>
  <si>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</si>
  <si>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</si>
  <si>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</si>
  <si>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</si>
  <si>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</si>
  <si>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</si>
  <si>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</si>
  <si>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</si>
  <si>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</si>
  <si>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</si>
  <si>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</si>
  <si>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</si>
  <si>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</si>
  <si>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</si>
  <si>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</si>
  <si>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</si>
  <si>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</si>
  <si>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</si>
  <si>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</si>
  <si>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</si>
  <si>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</si>
  <si>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</si>
  <si>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</si>
  <si>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</si>
  <si>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</si>
  <si>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</si>
  <si>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</si>
  <si>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</si>
  <si>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</si>
  <si>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</si>
  <si>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</si>
  <si>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</si>
  <si>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</si>
  <si>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</si>
  <si>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</si>
  <si>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</si>
  <si>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</si>
  <si>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</si>
  <si>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</si>
  <si>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</si>
  <si>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</si>
  <si>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</si>
  <si>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</si>
  <si>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</si>
  <si>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</si>
  <si>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</si>
  <si>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</si>
  <si>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</si>
  <si>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</si>
  <si>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</si>
  <si>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</si>
  <si>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</si>
  <si>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</si>
  <si>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</si>
  <si>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</si>
  <si>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</si>
  <si>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</si>
  <si>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</si>
  <si>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</si>
  <si>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</si>
  <si>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</si>
  <si>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</si>
  <si>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</si>
  <si>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</si>
  <si>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</si>
  <si>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</si>
  <si>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</si>
  <si>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</si>
  <si>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</si>
  <si>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</si>
  <si>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</si>
  <si>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</si>
  <si>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</si>
  <si>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</si>
  <si>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</si>
  <si>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</si>
  <si>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</si>
  <si>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</si>
  <si>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</si>
  <si>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</si>
  <si>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</si>
  <si>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</si>
  <si>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</si>
  <si>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</si>
  <si>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</si>
  <si>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</si>
  <si>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</si>
  <si>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</si>
  <si>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</si>
  <si>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</si>
  <si>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</si>
  <si>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</si>
  <si>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</si>
  <si>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</si>
  <si>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</si>
  <si>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</si>
  <si>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</si>
  <si>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</si>
  <si>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</si>
  <si>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</si>
  <si>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</si>
  <si>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</si>
  <si>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</si>
  <si>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</si>
  <si>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</si>
  <si>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</si>
  <si>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</si>
  <si>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</si>
  <si>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</si>
  <si>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</si>
  <si>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</si>
  <si>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</si>
  <si>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</si>
  <si>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</si>
  <si>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</si>
  <si>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</si>
  <si>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</si>
  <si>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</si>
  <si>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</si>
  <si>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</si>
  <si>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</si>
  <si>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</si>
  <si>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</si>
  <si>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</si>
  <si>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</si>
  <si>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</si>
  <si>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</si>
  <si>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</si>
  <si>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</si>
  <si>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</si>
  <si>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</si>
  <si>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</si>
  <si>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</si>
  <si>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</si>
  <si>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</si>
  <si>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</si>
  <si>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</si>
  <si>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</si>
  <si>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</si>
  <si>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</si>
  <si>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</si>
  <si>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</si>
  <si>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</si>
  <si>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</si>
  <si>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</si>
  <si>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</si>
  <si>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</si>
  <si>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</si>
  <si>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</si>
  <si>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</si>
  <si>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</si>
  <si>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</si>
  <si>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</si>
  <si>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</si>
  <si>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</si>
  <si>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</si>
  <si>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</si>
  <si>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</si>
  <si>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</si>
  <si>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</si>
  <si>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</si>
  <si>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</si>
  <si>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</si>
  <si>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</si>
  <si>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</si>
  <si>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</si>
  <si>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</si>
  <si>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</si>
  <si>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</si>
  <si>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</si>
  <si>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</si>
  <si>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</si>
  <si>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</si>
  <si>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</si>
  <si>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</si>
  <si>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</si>
  <si>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</si>
  <si>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</si>
  <si>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</si>
  <si>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</si>
  <si>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</si>
  <si>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</si>
  <si>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</si>
  <si>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</si>
  <si>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</si>
  <si>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</si>
  <si>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</si>
  <si>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</si>
  <si>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</si>
  <si>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</si>
  <si>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</si>
  <si>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</si>
  <si>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</si>
  <si>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</si>
  <si>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</si>
  <si>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</si>
  <si>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</si>
  <si>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</si>
  <si>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</si>
  <si>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</si>
  <si>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</si>
  <si>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</si>
  <si>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</si>
  <si>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</si>
  <si>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</si>
  <si>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</si>
  <si>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</si>
  <si>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</si>
  <si>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</si>
  <si>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</si>
  <si>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</si>
  <si>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</si>
  <si>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</si>
  <si>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</si>
  <si>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</si>
  <si>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</si>
  <si>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</si>
  <si>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</si>
  <si>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</si>
  <si>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</si>
  <si>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</si>
  <si>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</si>
  <si>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</si>
  <si>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</si>
  <si>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</si>
  <si>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</si>
  <si>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</si>
  <si>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</si>
  <si>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</si>
  <si>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</si>
  <si>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</si>
  <si>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</si>
  <si>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</si>
  <si>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</si>
  <si>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</si>
  <si>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</si>
  <si>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</si>
  <si>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</si>
  <si>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</si>
  <si>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</si>
  <si>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</si>
  <si>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</si>
  <si>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</si>
  <si>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</si>
  <si>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</si>
  <si>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</si>
  <si>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</si>
  <si>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</si>
  <si>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</si>
  <si>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</si>
  <si>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</si>
  <si>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</si>
  <si>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</si>
  <si>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</si>
  <si>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</si>
  <si>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</si>
  <si>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</si>
  <si>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</si>
  <si>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</si>
  <si>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</si>
  <si>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</si>
  <si>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</si>
  <si>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</si>
  <si>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</si>
  <si>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</si>
  <si>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</si>
  <si>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</si>
  <si>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</si>
  <si>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</si>
  <si>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</si>
  <si>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</si>
  <si>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</si>
  <si>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</si>
  <si>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</si>
  <si>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</si>
  <si>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</si>
  <si>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</si>
  <si>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</si>
  <si>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</si>
  <si>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</si>
  <si>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</si>
  <si>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</si>
  <si>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</si>
  <si>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</si>
  <si>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</si>
  <si>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</si>
  <si>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</si>
  <si>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</si>
  <si>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</si>
  <si>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</si>
  <si>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</si>
  <si>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</si>
  <si>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</si>
  <si>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</si>
  <si>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</si>
  <si>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</si>
  <si>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</si>
  <si>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</si>
  <si>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</si>
  <si>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</si>
  <si>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</si>
  <si>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</si>
  <si>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</si>
  <si>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</si>
  <si>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</si>
  <si>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</si>
  <si>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</si>
  <si>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</si>
  <si>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</si>
  <si>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</si>
  <si>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</si>
  <si>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</si>
  <si>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</si>
  <si>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</si>
  <si>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</si>
  <si>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</si>
  <si>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</si>
  <si>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</si>
  <si>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</si>
  <si>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</si>
  <si>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</si>
  <si>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</si>
  <si>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</si>
  <si>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</si>
  <si>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</si>
  <si>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</si>
  <si>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</si>
  <si>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</si>
  <si>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</si>
  <si>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</si>
  <si>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</si>
  <si>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</si>
  <si>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</si>
  <si>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</si>
  <si>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</si>
  <si>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</si>
  <si>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</si>
  <si>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</si>
  <si>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</si>
  <si>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</si>
  <si>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</si>
  <si>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</si>
  <si>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</si>
  <si>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</si>
  <si>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</si>
  <si>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</si>
  <si>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</si>
  <si>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</si>
  <si>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</si>
  <si>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</si>
  <si>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</si>
  <si>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</si>
  <si>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</si>
  <si>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</si>
  <si>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</si>
  <si>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</si>
  <si>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</si>
  <si>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</si>
  <si>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</si>
  <si>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</si>
  <si>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</si>
  <si>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</si>
  <si>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</si>
  <si>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</si>
  <si>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</si>
  <si>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</si>
  <si>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</si>
  <si>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</si>
  <si>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</si>
  <si>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</si>
  <si>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</si>
  <si>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</si>
  <si>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</si>
  <si>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</si>
  <si>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</si>
  <si>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</si>
  <si>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</si>
  <si>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</si>
  <si>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</si>
  <si>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</si>
  <si>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</si>
  <si>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</si>
  <si>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</si>
  <si>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</si>
  <si>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</si>
  <si>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</si>
  <si>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</si>
  <si>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</si>
  <si>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</si>
  <si>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</si>
  <si>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</si>
  <si>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</si>
  <si>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</si>
  <si>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</si>
  <si>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</si>
  <si>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</si>
  <si>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</si>
  <si>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</si>
  <si>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</si>
  <si>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</si>
  <si>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</si>
  <si>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</si>
  <si>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</si>
  <si>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</si>
  <si>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</si>
  <si>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</si>
  <si>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</si>
  <si>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</si>
  <si>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</si>
  <si>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</si>
  <si>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</si>
  <si>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</si>
  <si>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</si>
  <si>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</si>
  <si>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</si>
  <si>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</si>
  <si>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</si>
  <si>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</si>
  <si>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</si>
  <si>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</si>
  <si>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</si>
  <si>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</si>
  <si>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</si>
  <si>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</si>
  <si>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</si>
  <si>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</si>
  <si>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</si>
  <si>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</si>
  <si>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</si>
  <si>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</si>
  <si>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</si>
  <si>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</si>
  <si>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</si>
  <si>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</si>
  <si>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</si>
  <si>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</si>
  <si>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</si>
  <si>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</si>
  <si>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</si>
  <si>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</si>
  <si>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</si>
  <si>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</si>
  <si>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</si>
  <si>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</si>
  <si>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</si>
  <si>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</si>
  <si>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</si>
  <si>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</si>
  <si>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</si>
  <si>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</si>
  <si>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</si>
  <si>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</si>
  <si>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</si>
  <si>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</si>
  <si>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</si>
  <si>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</si>
  <si>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</si>
  <si>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</si>
  <si>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</si>
  <si>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</si>
  <si>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</si>
  <si>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</si>
  <si>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</si>
  <si>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</si>
  <si>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</si>
  <si>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</si>
  <si>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</si>
  <si>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</si>
  <si>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</si>
  <si>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</si>
  <si>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</si>
  <si>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</si>
  <si>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</si>
  <si>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</si>
  <si>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</si>
  <si>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</si>
  <si>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</si>
  <si>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</si>
  <si>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</si>
  <si>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</si>
  <si>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</si>
  <si>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</si>
  <si>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</si>
  <si>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</si>
  <si>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</si>
  <si>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</si>
  <si>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</si>
  <si>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</si>
  <si>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</si>
  <si>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</si>
  <si>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</si>
  <si>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</si>
  <si>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</si>
  <si>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</si>
  <si>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</si>
  <si>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</si>
  <si>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</si>
  <si>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</si>
  <si>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</si>
  <si>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</si>
  <si>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</si>
  <si>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</si>
  <si>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</si>
  <si>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</si>
  <si>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</si>
  <si>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</si>
  <si>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</si>
  <si>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</si>
  <si>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</si>
  <si>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</si>
  <si>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</si>
  <si>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</si>
  <si>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</si>
  <si>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</si>
  <si>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</si>
  <si>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</si>
  <si>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</si>
  <si>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</si>
  <si>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</si>
  <si>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</si>
  <si>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</si>
  <si>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</si>
  <si>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</si>
  <si>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</si>
  <si>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</si>
  <si>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</si>
  <si>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</si>
  <si>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</si>
  <si>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</si>
  <si>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</si>
  <si>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</si>
  <si>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</si>
  <si>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</si>
  <si>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</si>
  <si>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</si>
  <si>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</si>
  <si>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</si>
  <si>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</si>
  <si>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</si>
  <si>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</si>
  <si>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</si>
  <si>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</si>
  <si>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</si>
  <si>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</si>
  <si>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</si>
  <si>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</si>
  <si>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</si>
  <si>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</si>
  <si>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</si>
  <si>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</si>
  <si>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</si>
  <si>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</si>
  <si>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</si>
  <si>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</si>
  <si>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</si>
  <si>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</si>
  <si>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</si>
  <si>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</si>
  <si>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</si>
  <si>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</si>
  <si>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</si>
  <si>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</si>
  <si>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</si>
  <si>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</si>
  <si>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</si>
  <si>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</si>
  <si>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</si>
  <si>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</si>
  <si>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</si>
  <si>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</si>
  <si>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</si>
  <si>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</si>
  <si>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</si>
  <si>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</si>
  <si>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</si>
  <si>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</si>
  <si>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</si>
  <si>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</si>
  <si>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</si>
  <si>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</si>
  <si>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</si>
  <si>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</si>
  <si>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</si>
  <si>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</si>
  <si>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</si>
  <si>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</si>
  <si>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</si>
  <si>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</si>
  <si>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</si>
  <si>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</si>
  <si>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</si>
  <si>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</si>
  <si>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</si>
  <si>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</si>
  <si>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</si>
  <si>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</si>
  <si>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</si>
  <si>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</si>
  <si>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</si>
  <si>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</si>
  <si>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</si>
  <si>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</si>
  <si>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</si>
  <si>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</si>
  <si>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</si>
  <si>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</si>
  <si>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</si>
  <si>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</si>
  <si>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</si>
  <si>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</si>
  <si>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</si>
  <si>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</si>
  <si>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</si>
  <si>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</si>
  <si>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</si>
  <si>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</si>
  <si>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</si>
  <si>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</si>
  <si>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</si>
  <si>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</si>
  <si>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</si>
  <si>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</si>
  <si>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</si>
  <si>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</si>
  <si>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</si>
  <si>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</si>
  <si>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</si>
  <si>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</si>
  <si>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</si>
  <si>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</si>
  <si>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</si>
  <si>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</si>
  <si>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</si>
  <si>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</si>
  <si>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</si>
  <si>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</si>
  <si>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</si>
  <si>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</si>
  <si>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</si>
  <si>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</si>
  <si>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</si>
  <si>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</si>
  <si>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</si>
  <si>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</si>
  <si>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</si>
  <si>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</si>
  <si>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</si>
  <si>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</si>
  <si>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</si>
  <si>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</si>
  <si>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</si>
  <si>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</si>
  <si>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</si>
  <si>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</si>
  <si>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</si>
  <si>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</si>
  <si>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</si>
  <si>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</si>
  <si>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</si>
  <si>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</si>
  <si>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</si>
  <si>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</si>
  <si>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</si>
  <si>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</si>
  <si>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</si>
  <si>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</si>
  <si>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</si>
  <si>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</si>
  <si>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</si>
  <si>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</si>
  <si>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</si>
  <si>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</si>
  <si>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</si>
  <si>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</si>
  <si>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</si>
  <si>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</si>
  <si>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</si>
  <si>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</si>
  <si>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</si>
  <si>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</si>
  <si>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</si>
  <si>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</si>
  <si>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</si>
  <si>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</si>
  <si>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</si>
  <si>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</si>
  <si>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</si>
  <si>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</si>
  <si>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</si>
  <si>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</si>
  <si>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</si>
  <si>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</si>
  <si>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</si>
  <si>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</si>
  <si>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</si>
  <si>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</si>
  <si>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</si>
  <si>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</si>
  <si>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</si>
  <si>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</si>
  <si>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</si>
  <si>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</si>
  <si>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</si>
  <si>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</si>
  <si>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</si>
  <si>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</si>
  <si>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</si>
  <si>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</si>
  <si>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</si>
  <si>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</si>
  <si>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</si>
  <si>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</si>
  <si>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</si>
  <si>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</si>
  <si>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</si>
  <si>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</si>
  <si>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</si>
  <si>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</si>
  <si>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</si>
  <si>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</si>
  <si>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</si>
  <si>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</si>
  <si>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</si>
  <si>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</si>
  <si>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</si>
  <si>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</si>
  <si>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</si>
  <si>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</si>
  <si>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</si>
  <si>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</si>
  <si>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</si>
  <si>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</si>
  <si>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</si>
  <si>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</si>
  <si>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</si>
  <si>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</si>
  <si>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</si>
  <si>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</si>
  <si>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</si>
  <si>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</si>
  <si>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</si>
  <si>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</si>
  <si>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</si>
  <si>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</si>
  <si>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</si>
  <si>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</si>
  <si>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</si>
  <si>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</si>
  <si>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</si>
  <si>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</si>
  <si>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</si>
  <si>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</si>
  <si>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</si>
  <si>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</si>
  <si>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</si>
  <si>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</si>
  <si>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</si>
  <si>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</si>
  <si>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</si>
  <si>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</si>
  <si>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</si>
  <si>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</si>
  <si>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</si>
  <si>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</si>
  <si>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</si>
  <si>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</si>
  <si>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</si>
  <si>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</si>
  <si>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</si>
  <si>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</si>
  <si>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</si>
  <si>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</si>
  <si>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</si>
  <si>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</si>
  <si>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</si>
  <si>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</si>
  <si>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</si>
  <si>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</si>
  <si>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</si>
  <si>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</si>
  <si>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</si>
  <si>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</si>
  <si>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</si>
  <si>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</si>
  <si>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</si>
  <si>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</si>
  <si>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</si>
  <si>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</si>
  <si>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</si>
  <si>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</si>
  <si>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</si>
  <si>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</si>
  <si>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</si>
  <si>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</si>
  <si>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</si>
  <si>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</si>
  <si>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</si>
  <si>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</si>
  <si>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</si>
  <si>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</si>
  <si>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</si>
  <si>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</si>
  <si>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</si>
  <si>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</si>
  <si>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</si>
  <si>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</si>
  <si>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</si>
  <si>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</si>
  <si>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</si>
  <si>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</si>
  <si>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</si>
  <si>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</si>
  <si>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</si>
  <si>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</si>
  <si>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</si>
  <si>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</si>
  <si>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</si>
  <si>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</si>
  <si>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</si>
  <si>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</si>
  <si>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</si>
  <si>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</si>
  <si>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</si>
  <si>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</si>
  <si>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</si>
  <si>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</si>
  <si>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</si>
  <si>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</si>
  <si>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</si>
  <si>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</si>
  <si>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</si>
  <si>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</si>
  <si>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</si>
  <si>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</si>
  <si>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</si>
  <si>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</si>
  <si>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</si>
  <si>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</si>
  <si>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</si>
  <si>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</si>
  <si>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</si>
  <si>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</si>
  <si>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</si>
  <si>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</si>
  <si>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</si>
  <si>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</si>
  <si>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</si>
  <si>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</si>
  <si>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</si>
  <si>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</si>
  <si>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</si>
  <si>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</si>
  <si>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</si>
  <si>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</si>
  <si>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</si>
  <si>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</si>
  <si>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</si>
  <si>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</si>
  <si>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</si>
  <si>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</si>
  <si>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</si>
  <si>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</si>
  <si>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</si>
  <si>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</si>
  <si>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</si>
  <si>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</si>
  <si>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</si>
  <si>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</si>
  <si>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</si>
  <si>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</si>
  <si>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</si>
  <si>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</si>
  <si>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</si>
  <si>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</si>
  <si>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</si>
  <si>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</si>
  <si>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</si>
  <si>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</si>
  <si>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</si>
  <si>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</si>
  <si>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</si>
  <si>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</si>
  <si>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</si>
  <si>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</si>
  <si>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</si>
  <si>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</si>
  <si>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</si>
  <si>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</si>
  <si>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</si>
  <si>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</si>
  <si>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</si>
  <si>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</si>
  <si>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</si>
  <si>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</si>
  <si>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</si>
  <si>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</si>
  <si>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</si>
  <si>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</si>
  <si>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</si>
  <si>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</si>
  <si>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</si>
  <si>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</si>
  <si>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</si>
  <si>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</si>
  <si>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</si>
  <si>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</si>
  <si>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</si>
  <si>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</si>
  <si>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</si>
  <si>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</si>
  <si>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</si>
  <si>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</si>
  <si>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</si>
  <si>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</si>
  <si>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</si>
  <si>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</si>
  <si>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</si>
  <si>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</si>
  <si>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</si>
  <si>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</si>
  <si>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</si>
  <si>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</si>
  <si>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</si>
  <si>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</si>
  <si>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</si>
  <si>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</si>
  <si>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</si>
  <si>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</si>
  <si>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</si>
  <si>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</si>
  <si>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</si>
  <si>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</si>
  <si>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</si>
  <si>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</si>
  <si>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</si>
  <si>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</si>
  <si>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</si>
  <si>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</si>
  <si>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</si>
  <si>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</si>
  <si>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</si>
  <si>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</si>
  <si>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</si>
  <si>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</si>
  <si>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</si>
  <si>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</si>
  <si>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</si>
  <si>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</si>
  <si>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</si>
  <si>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</si>
  <si>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</si>
  <si>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</si>
  <si>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</si>
  <si>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</si>
  <si>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</si>
  <si>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</si>
  <si>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</si>
  <si>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</si>
  <si>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</si>
  <si>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</si>
  <si>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</si>
  <si>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</si>
  <si>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</si>
  <si>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</si>
  <si>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</si>
  <si>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</si>
  <si>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</si>
  <si>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</si>
  <si>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</si>
  <si>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</si>
  <si>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</si>
  <si>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</si>
  <si>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</si>
  <si>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</si>
  <si>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</si>
  <si>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</si>
  <si>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</si>
  <si>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</si>
  <si>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</si>
  <si>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</si>
  <si>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</si>
  <si>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</si>
  <si>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</si>
  <si>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</si>
  <si>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</si>
  <si>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</si>
  <si>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</si>
  <si>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</si>
  <si>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</si>
  <si>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</si>
  <si>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</si>
  <si>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</si>
  <si>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</si>
  <si>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</si>
  <si>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</si>
  <si>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</si>
  <si>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</si>
  <si>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</si>
  <si>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</si>
  <si>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</si>
  <si>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</si>
  <si>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</si>
  <si>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</si>
  <si>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</si>
  <si>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</si>
  <si>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</si>
  <si>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</si>
  <si>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</si>
  <si>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</si>
  <si>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</si>
  <si>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</si>
  <si>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</si>
  <si>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</si>
  <si>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</si>
  <si>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</si>
  <si>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</si>
  <si>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</si>
  <si>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</si>
  <si>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</si>
  <si>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</si>
  <si>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</si>
  <si>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</si>
  <si>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</si>
  <si>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</si>
  <si>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</si>
  <si>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</si>
  <si>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</si>
  <si>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</si>
  <si>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</si>
  <si>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</si>
  <si>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</si>
  <si>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</si>
  <si>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</si>
  <si>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</si>
  <si>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</si>
  <si>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</si>
  <si>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</si>
  <si>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</si>
  <si>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</si>
  <si>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</si>
  <si>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</si>
  <si>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</si>
  <si>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</si>
  <si>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</si>
  <si>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</si>
  <si>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</si>
  <si>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</si>
  <si>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</si>
  <si>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</si>
  <si>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</si>
  <si>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</si>
  <si>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</si>
  <si>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</si>
  <si>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</si>
  <si>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</si>
  <si>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</si>
  <si>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</si>
  <si>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</si>
  <si>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</si>
  <si>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</si>
  <si>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</si>
  <si>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</si>
  <si>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</si>
  <si>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</si>
  <si>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</si>
  <si>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</si>
  <si>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</si>
  <si>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</si>
  <si>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</si>
  <si>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</si>
  <si>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</si>
  <si>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</si>
  <si>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</si>
  <si>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</si>
  <si>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</si>
  <si>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</si>
  <si>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</si>
  <si>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</si>
  <si>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</si>
  <si>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</si>
  <si>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</si>
  <si>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</si>
  <si>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</si>
  <si>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</si>
  <si>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</si>
  <si>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</si>
  <si>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</si>
  <si>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</si>
  <si>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</si>
  <si>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</si>
  <si>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</si>
  <si>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</si>
  <si>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</si>
  <si>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</si>
  <si>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</si>
  <si>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</si>
  <si>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</si>
  <si>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</si>
  <si>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</si>
  <si>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</si>
  <si>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</si>
  <si>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</si>
  <si>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</si>
  <si>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</si>
  <si>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</si>
  <si>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</si>
  <si>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</si>
  <si>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</si>
  <si>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</si>
  <si>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</si>
  <si>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</si>
  <si>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</si>
  <si>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</si>
  <si>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</si>
  <si>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</si>
  <si>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</si>
  <si>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</si>
  <si>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</si>
  <si>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</si>
  <si>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</si>
  <si>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</si>
  <si>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</si>
  <si>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</si>
  <si>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</si>
  <si>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</si>
  <si>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</si>
  <si>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</si>
  <si>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</si>
  <si>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</si>
  <si>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</si>
  <si>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</si>
  <si>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</si>
  <si>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</si>
  <si>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</si>
  <si>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</si>
  <si>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</si>
  <si>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</si>
  <si>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</si>
  <si>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</si>
  <si>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</si>
  <si>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</si>
  <si>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</si>
  <si>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</si>
  <si>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</si>
  <si>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</si>
  <si>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</si>
  <si>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</si>
  <si>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</si>
  <si>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</si>
  <si>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</si>
  <si>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</si>
  <si>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</si>
  <si>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</si>
  <si>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</si>
  <si>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</si>
  <si>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</si>
  <si>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</si>
  <si>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</si>
  <si>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</si>
  <si>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</si>
  <si>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</si>
  <si>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</si>
  <si>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</si>
  <si>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</si>
  <si>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</si>
  <si>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</si>
  <si>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</si>
  <si>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</si>
  <si>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</si>
  <si>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</si>
  <si>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</si>
  <si>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</si>
  <si>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</si>
  <si>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</si>
  <si>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</si>
  <si>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</si>
  <si>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</si>
  <si>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</si>
  <si>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</si>
  <si>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</si>
  <si>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</si>
  <si>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</si>
  <si>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</si>
  <si>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</si>
  <si>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</si>
  <si>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</si>
  <si>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</si>
  <si>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</si>
  <si>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</si>
  <si>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</si>
  <si>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</si>
  <si>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</si>
  <si>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</si>
  <si>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</si>
  <si>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</si>
  <si>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</si>
  <si>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</si>
  <si>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</si>
  <si>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</si>
  <si>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</si>
  <si>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</si>
  <si>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</si>
  <si>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</si>
  <si>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</si>
  <si>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</si>
  <si>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</si>
  <si>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</si>
  <si>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</si>
  <si>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</si>
  <si>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</si>
  <si>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</si>
  <si>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</si>
  <si>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</si>
  <si>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</si>
  <si>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</si>
  <si>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</si>
  <si>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</si>
  <si>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</si>
  <si>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</si>
  <si>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</si>
  <si>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</si>
  <si>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</si>
  <si>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</si>
  <si>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</si>
  <si>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</si>
  <si>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</si>
  <si>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</si>
  <si>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</si>
  <si>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</si>
  <si>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</si>
  <si>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</si>
  <si>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</si>
  <si>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</si>
  <si>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</si>
  <si>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</si>
  <si>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</si>
  <si>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</si>
  <si>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</si>
  <si>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</si>
  <si>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</si>
  <si>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</si>
  <si>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</si>
  <si>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</si>
  <si>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</si>
  <si>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</si>
  <si>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</si>
  <si>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</si>
  <si>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</si>
  <si>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</si>
  <si>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</si>
  <si>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</si>
  <si>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</si>
  <si>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</si>
  <si>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</si>
  <si>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</si>
  <si>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</si>
  <si>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</si>
  <si>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</si>
  <si>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</si>
  <si>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</si>
  <si>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</si>
  <si>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</si>
  <si>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</si>
  <si>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</si>
  <si>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</si>
  <si>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</si>
  <si>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</si>
  <si>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</si>
  <si>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</si>
  <si>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</si>
  <si>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</si>
  <si>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</si>
  <si>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</si>
  <si>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</si>
  <si>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</si>
  <si>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</si>
  <si>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</si>
  <si>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</si>
  <si>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</si>
  <si>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</si>
  <si>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</si>
  <si>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</si>
  <si>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</si>
  <si>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</si>
  <si>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</si>
  <si>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</si>
  <si>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</si>
  <si>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</si>
  <si>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</si>
  <si>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</si>
  <si>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</si>
  <si>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</si>
  <si>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</si>
  <si>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</si>
  <si>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</si>
  <si>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</si>
  <si>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</si>
  <si>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</si>
  <si>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</si>
  <si>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</si>
  <si>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</si>
  <si>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</si>
  <si>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</si>
  <si>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</si>
  <si>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</si>
  <si>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</si>
  <si>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</si>
  <si>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</si>
  <si>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</si>
  <si>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</si>
  <si>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</si>
  <si>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</si>
  <si>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</si>
  <si>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</si>
  <si>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</si>
  <si>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</si>
  <si>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</si>
  <si>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</si>
  <si>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</si>
  <si>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</si>
  <si>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</si>
  <si>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</si>
  <si>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</si>
  <si>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</si>
  <si>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</si>
  <si>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</si>
  <si>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</si>
  <si>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</si>
  <si>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</si>
  <si>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</si>
  <si>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</si>
  <si>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</si>
  <si>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</si>
  <si>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</si>
  <si>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</si>
  <si>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</si>
  <si>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</si>
  <si>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</si>
  <si>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</si>
  <si>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</si>
  <si>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</si>
  <si>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</si>
  <si>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</si>
  <si>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</si>
  <si>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</si>
  <si>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</si>
  <si>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</si>
  <si>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</si>
  <si>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</si>
  <si>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</si>
  <si>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</si>
  <si>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</si>
  <si>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</si>
  <si>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</si>
  <si>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</si>
  <si>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</si>
  <si>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</si>
  <si>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</si>
  <si>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</si>
  <si>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</si>
  <si>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</si>
  <si>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</si>
  <si>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</si>
  <si>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</si>
  <si>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</si>
  <si>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</si>
  <si>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</si>
  <si>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</si>
  <si>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</si>
  <si>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</si>
  <si>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</si>
  <si>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</si>
  <si>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</si>
  <si>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</si>
  <si>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</si>
  <si>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</si>
  <si>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</si>
  <si>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</si>
  <si>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</si>
  <si>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</si>
  <si>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</si>
  <si>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</si>
  <si>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</si>
  <si>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</si>
  <si>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</si>
  <si>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</si>
  <si>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</si>
  <si>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</si>
  <si>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</si>
  <si>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</si>
  <si>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</si>
  <si>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</si>
  <si>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</si>
  <si>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</si>
  <si>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</si>
  <si>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</si>
  <si>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</si>
  <si>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</si>
  <si>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</si>
  <si>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</si>
  <si>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</si>
  <si>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</si>
  <si>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</si>
  <si>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</si>
  <si>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</si>
  <si>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</si>
  <si>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</si>
  <si>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</si>
  <si>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</si>
  <si>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</si>
  <si>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</si>
  <si>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</si>
  <si>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</si>
  <si>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</si>
  <si>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</si>
  <si>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</si>
  <si>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</si>
  <si>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</si>
  <si>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</si>
  <si>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</si>
  <si>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</si>
  <si>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</si>
  <si>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</si>
  <si>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</si>
  <si>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</si>
  <si>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</si>
  <si>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</si>
  <si>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</si>
  <si>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</si>
  <si>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</si>
  <si>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</si>
  <si>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</si>
  <si>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</si>
  <si>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</si>
  <si>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</si>
  <si>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</si>
  <si>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</si>
  <si>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</si>
  <si>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</si>
  <si>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</si>
  <si>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</si>
  <si>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</si>
  <si>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</si>
  <si>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</si>
  <si>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</si>
  <si>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</si>
  <si>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</si>
  <si>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</si>
  <si>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</si>
  <si>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</si>
  <si>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</si>
  <si>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</si>
  <si>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</si>
  <si>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</si>
  <si>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</si>
  <si>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</si>
  <si>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</si>
  <si>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</si>
  <si>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</si>
  <si>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</si>
  <si>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</si>
  <si>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</si>
  <si>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</si>
  <si>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</si>
  <si>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</si>
  <si>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</si>
  <si>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</si>
  <si>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</si>
  <si>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</si>
  <si>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</si>
  <si>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</si>
  <si>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</si>
  <si>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</si>
  <si>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</si>
  <si>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</si>
  <si>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</si>
  <si>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</si>
  <si>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</si>
  <si>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</si>
  <si>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</si>
  <si>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</si>
  <si>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</si>
  <si>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</si>
  <si>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</si>
  <si>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</si>
  <si>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</si>
  <si>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</si>
  <si>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</si>
  <si>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</si>
  <si>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</si>
  <si>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</si>
  <si>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</si>
  <si>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</si>
  <si>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</si>
  <si>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</si>
  <si>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</si>
  <si>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</si>
  <si>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</si>
  <si>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</si>
  <si>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</si>
  <si>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</si>
  <si>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</si>
  <si>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</si>
  <si>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</si>
  <si>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</si>
  <si>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</si>
  <si>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</si>
  <si>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</si>
  <si>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</si>
  <si>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</si>
  <si>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</si>
  <si>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</si>
  <si>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</si>
  <si>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</si>
  <si>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</si>
  <si>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</si>
  <si>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</si>
  <si>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</si>
  <si>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</si>
  <si>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</si>
  <si>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</si>
  <si>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</si>
  <si>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</si>
  <si>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</si>
  <si>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</si>
  <si>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</si>
  <si>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</si>
  <si>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</si>
  <si>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</si>
  <si>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</si>
  <si>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</si>
  <si>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</si>
  <si>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</si>
  <si>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</si>
  <si>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</si>
  <si>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</si>
  <si>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</si>
  <si>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</si>
  <si>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</si>
  <si>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</si>
  <si>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</si>
  <si>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</si>
  <si>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</si>
  <si>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</si>
  <si>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</si>
  <si>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</si>
  <si>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</si>
  <si>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</si>
  <si>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</si>
  <si>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</si>
  <si>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</si>
  <si>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</si>
  <si>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</si>
  <si>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</si>
  <si>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</si>
  <si>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</si>
  <si>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</si>
  <si>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</si>
  <si>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</si>
  <si>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</si>
  <si>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</si>
  <si>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</si>
  <si>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</si>
  <si>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</si>
  <si>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</si>
  <si>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</si>
  <si>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</si>
  <si>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</si>
  <si>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</si>
  <si>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</si>
  <si>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</si>
  <si>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</si>
  <si>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</si>
  <si>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</si>
  <si>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</si>
  <si>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</si>
  <si>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</si>
  <si>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</si>
  <si>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</si>
  <si>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</si>
  <si>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</si>
  <si>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</si>
  <si>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</si>
  <si>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</si>
  <si>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</si>
  <si>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</si>
  <si>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</si>
  <si>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</si>
  <si>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</si>
  <si>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</si>
  <si>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</si>
  <si>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</si>
  <si>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</si>
  <si>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</si>
  <si>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</si>
  <si>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</si>
  <si>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</si>
  <si>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</si>
  <si>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</si>
  <si>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</si>
  <si>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</si>
  <si>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</si>
  <si>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</si>
  <si>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</si>
  <si>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</si>
  <si>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</si>
  <si>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</si>
  <si>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</si>
  <si>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</si>
  <si>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</si>
  <si>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</si>
  <si>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</si>
  <si>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</si>
  <si>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</si>
  <si>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</si>
  <si>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</si>
  <si>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</si>
  <si>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</si>
  <si>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</si>
  <si>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</si>
  <si>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</si>
  <si>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</si>
  <si>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</si>
  <si>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</si>
  <si>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</si>
  <si>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</si>
  <si>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</si>
  <si>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</si>
  <si>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</si>
  <si>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</si>
  <si>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</si>
  <si>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</si>
  <si>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</si>
  <si>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</si>
  <si>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</si>
  <si>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</si>
  <si>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</si>
  <si>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</si>
  <si>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</si>
  <si>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</si>
  <si>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</si>
  <si>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</si>
  <si>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</si>
  <si>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</si>
  <si>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</si>
  <si>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</si>
  <si>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</si>
  <si>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</si>
  <si>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</si>
  <si>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</si>
  <si>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</si>
  <si>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</si>
  <si>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</si>
  <si>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</si>
  <si>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</si>
  <si>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</si>
  <si>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</si>
  <si>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</si>
  <si>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</si>
  <si>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</si>
  <si>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</si>
  <si>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</si>
  <si>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</si>
  <si>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</si>
  <si>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</si>
  <si>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</si>
  <si>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</si>
  <si>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</si>
  <si>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</si>
  <si>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</si>
  <si>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</si>
  <si>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</si>
  <si>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</si>
  <si>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</si>
  <si>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</si>
  <si>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</si>
  <si>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</si>
  <si>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</si>
  <si>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</si>
  <si>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</si>
  <si>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</si>
  <si>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</si>
  <si>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</si>
  <si>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</si>
  <si>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</si>
  <si>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</si>
  <si>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</si>
  <si>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</si>
  <si>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</si>
  <si>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</si>
  <si>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</si>
  <si>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</si>
  <si>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</si>
  <si>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</si>
  <si>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</si>
  <si>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</si>
  <si>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</si>
  <si>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</si>
  <si>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</si>
  <si>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</si>
  <si>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</si>
  <si>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</si>
  <si>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</si>
  <si>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</si>
  <si>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</si>
  <si>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</si>
  <si>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</si>
  <si>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</si>
  <si>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</si>
  <si>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</si>
  <si>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</si>
  <si>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</si>
  <si>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</si>
  <si>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</si>
  <si>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</si>
  <si>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</si>
  <si>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</si>
  <si>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</si>
  <si>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</si>
  <si>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</si>
  <si>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</si>
  <si>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</si>
  <si>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</si>
  <si>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</si>
  <si>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</si>
  <si>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</si>
  <si>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</si>
  <si>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</si>
  <si>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</si>
  <si>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</si>
  <si>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</si>
  <si>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</si>
  <si>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</si>
  <si>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</si>
  <si>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</si>
  <si>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</si>
  <si>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</si>
  <si>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</si>
  <si>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</si>
  <si>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</si>
  <si>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</si>
  <si>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</si>
  <si>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</si>
  <si>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</si>
  <si>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</si>
  <si>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</si>
  <si>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</si>
  <si>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</si>
  <si>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</si>
  <si>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</si>
  <si>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</si>
  <si>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</si>
  <si>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</si>
  <si>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</si>
  <si>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</si>
  <si>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</si>
  <si>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</si>
  <si>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</si>
  <si>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</si>
  <si>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</si>
  <si>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</si>
  <si>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</si>
  <si>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</si>
  <si>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</si>
  <si>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</si>
  <si>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</si>
  <si>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</si>
  <si>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</si>
  <si>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</si>
  <si>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</si>
  <si>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</si>
  <si>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</si>
  <si>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</si>
  <si>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</si>
  <si>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</si>
  <si>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</si>
  <si>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</si>
  <si>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</si>
  <si>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</si>
  <si>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</si>
  <si>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</si>
  <si>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</si>
  <si>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</si>
  <si>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</si>
  <si>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</si>
  <si>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</si>
  <si>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</si>
  <si>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</si>
  <si>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</si>
  <si>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</si>
  <si>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</si>
  <si>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</si>
  <si>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</si>
  <si>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</si>
  <si>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</si>
  <si>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</si>
  <si>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</si>
  <si>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</si>
  <si>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</si>
  <si>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</si>
  <si>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</si>
  <si>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</si>
  <si>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</si>
  <si>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</si>
  <si>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</si>
  <si>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</si>
  <si>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</si>
  <si>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</si>
  <si>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</si>
  <si>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</si>
  <si>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</si>
  <si>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</si>
  <si>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</si>
  <si>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</si>
  <si>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</si>
  <si>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</si>
  <si>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</si>
  <si>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</si>
  <si>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</si>
  <si>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</si>
  <si>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</si>
  <si>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</si>
  <si>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</si>
  <si>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</si>
  <si>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</si>
  <si>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</si>
  <si>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</si>
  <si>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</si>
  <si>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</si>
  <si>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</si>
  <si>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</si>
  <si>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</si>
  <si>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</si>
  <si>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</si>
  <si>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</si>
  <si>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</si>
  <si>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</si>
  <si>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</si>
  <si>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</si>
  <si>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</si>
  <si>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</si>
  <si>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</si>
  <si>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</si>
  <si>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</si>
  <si>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</si>
  <si>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</si>
  <si>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</si>
  <si>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</si>
  <si>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</si>
  <si>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</si>
  <si>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</si>
  <si>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</si>
  <si>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</si>
  <si>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</si>
  <si>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</si>
  <si>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</si>
  <si>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</si>
  <si>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</si>
  <si>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</si>
  <si>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</si>
  <si>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</si>
  <si>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</si>
  <si>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</si>
  <si>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</si>
  <si>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</si>
  <si>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</si>
  <si>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</si>
  <si>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</si>
  <si>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</si>
  <si>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</si>
  <si>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</si>
  <si>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</si>
  <si>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</si>
  <si>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</si>
  <si>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</si>
  <si>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</si>
  <si>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</si>
  <si>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</si>
  <si>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</si>
  <si>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</si>
  <si>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</si>
  <si>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</si>
  <si>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</si>
  <si>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</si>
  <si>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</si>
  <si>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</si>
  <si>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</si>
  <si>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</si>
  <si>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</si>
  <si>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</si>
  <si>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</si>
  <si>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</si>
  <si>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</si>
  <si>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</si>
  <si>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</si>
  <si>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</si>
  <si>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</si>
  <si>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</si>
  <si>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</si>
  <si>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</si>
  <si>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</si>
  <si>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</si>
  <si>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</si>
  <si>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</si>
  <si>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</si>
  <si>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</si>
  <si>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</si>
  <si>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</si>
  <si>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</si>
  <si>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</si>
  <si>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</si>
  <si>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</si>
  <si>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</si>
  <si>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</si>
  <si>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</si>
  <si>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</si>
  <si>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</si>
  <si>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</si>
  <si>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</si>
  <si>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</si>
  <si>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</si>
  <si>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</si>
  <si>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</si>
  <si>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</si>
  <si>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</si>
  <si>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</si>
  <si>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</si>
  <si>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</si>
  <si>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</si>
  <si>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</si>
  <si>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</si>
  <si>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</si>
  <si>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</si>
  <si>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</si>
  <si>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</si>
  <si>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</si>
  <si>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</si>
  <si>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</si>
  <si>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</si>
  <si>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</si>
  <si>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</si>
  <si>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</si>
  <si>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</si>
  <si>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</si>
  <si>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</si>
  <si>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</si>
  <si>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</si>
  <si>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</si>
  <si>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</si>
  <si>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</si>
  <si>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</si>
  <si>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</si>
  <si>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</si>
  <si>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</si>
  <si>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</si>
  <si>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</si>
  <si>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</si>
  <si>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</si>
  <si>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</si>
  <si>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</si>
  <si>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</si>
  <si>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</si>
  <si>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</si>
  <si>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</si>
  <si>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</si>
  <si>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</si>
  <si>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</si>
  <si>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</si>
  <si>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</si>
  <si>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</si>
  <si>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</si>
  <si>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</si>
  <si>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</si>
  <si>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</si>
  <si>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</si>
  <si>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</si>
  <si>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</si>
  <si>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</si>
  <si>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</si>
  <si>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</si>
  <si>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</si>
  <si>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</si>
  <si>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</si>
  <si>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</si>
  <si>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</si>
  <si>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</si>
  <si>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</si>
  <si>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</si>
  <si>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</si>
  <si>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</si>
  <si>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</si>
  <si>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</si>
  <si>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</si>
  <si>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</si>
  <si>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</si>
  <si>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</si>
  <si>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</si>
  <si>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</si>
  <si>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</si>
  <si>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</si>
  <si>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</si>
  <si>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</si>
  <si>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</si>
  <si>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</si>
  <si>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</si>
  <si>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</si>
  <si>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</si>
  <si>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</si>
  <si>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</si>
  <si>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</si>
  <si>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</si>
  <si>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</si>
  <si>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</si>
  <si>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</si>
  <si>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</si>
  <si>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</si>
  <si>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</si>
  <si>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</si>
  <si>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</si>
  <si>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</si>
  <si>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</si>
  <si>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</si>
  <si>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</si>
  <si>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</si>
  <si>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</si>
  <si>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</si>
  <si>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</si>
  <si>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</si>
  <si>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</si>
  <si>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</si>
  <si>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</si>
  <si>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</si>
  <si>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</si>
  <si>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</si>
  <si>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</si>
  <si>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</si>
  <si>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</si>
  <si>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</si>
  <si>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</si>
  <si>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</si>
  <si>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</si>
  <si>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</si>
  <si>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</si>
  <si>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</si>
  <si>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</si>
  <si>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</si>
  <si>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</si>
  <si>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</si>
  <si>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</si>
  <si>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</si>
  <si>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</si>
  <si>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</si>
  <si>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</si>
  <si>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</si>
  <si>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</si>
  <si>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</si>
  <si>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</si>
  <si>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</si>
  <si>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</si>
  <si>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</si>
  <si>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</si>
  <si>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</si>
  <si>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</si>
  <si>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</si>
  <si>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</si>
  <si>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</si>
  <si>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</si>
  <si>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</si>
  <si>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</si>
  <si>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</si>
  <si>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</si>
  <si>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</si>
  <si>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</si>
  <si>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</si>
  <si>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</si>
  <si>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</si>
  <si>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</si>
  <si>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</si>
  <si>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</si>
  <si>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</si>
  <si>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</si>
  <si>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</si>
  <si>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</si>
  <si>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</si>
  <si>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</si>
  <si>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</si>
  <si>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</si>
  <si>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</si>
  <si>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</si>
  <si>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</si>
  <si>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</si>
  <si>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</si>
  <si>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</si>
  <si>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</si>
  <si>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</si>
  <si>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</si>
  <si>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</si>
  <si>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</si>
  <si>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</si>
  <si>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</si>
  <si>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</si>
  <si>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</si>
  <si>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</si>
  <si>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</si>
  <si>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</si>
  <si>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</si>
  <si>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</si>
  <si>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</si>
  <si>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</si>
  <si>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</si>
  <si>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</si>
  <si>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</si>
  <si>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</si>
  <si>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</si>
  <si>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</si>
  <si>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</si>
  <si>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</si>
  <si>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</si>
  <si>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</si>
  <si>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</si>
  <si>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</si>
  <si>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</si>
  <si>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</si>
  <si>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</si>
  <si>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</si>
  <si>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</si>
  <si>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</si>
  <si>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</si>
  <si>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</si>
  <si>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</si>
  <si>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</si>
  <si>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</si>
  <si>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</si>
  <si>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</si>
  <si>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</si>
  <si>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</si>
  <si>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</si>
  <si>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</si>
  <si>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</si>
  <si>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</si>
  <si>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</si>
  <si>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</si>
  <si>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</si>
  <si>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</si>
  <si>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</si>
  <si>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</si>
  <si>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</si>
  <si>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</si>
  <si>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</si>
  <si>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</si>
  <si>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</si>
  <si>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</si>
  <si>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</si>
  <si>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</si>
  <si>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</si>
  <si>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</si>
  <si>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</si>
  <si>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</si>
  <si>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</si>
  <si>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</si>
  <si>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</si>
  <si>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</si>
  <si>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</si>
  <si>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</si>
  <si>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</si>
  <si>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</si>
  <si>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</si>
  <si>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</si>
  <si>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</si>
  <si>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</si>
  <si>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</si>
  <si>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</si>
  <si>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</si>
  <si>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</si>
  <si>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</si>
  <si>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</si>
  <si>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</si>
  <si>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</si>
  <si>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</si>
  <si>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</si>
  <si>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</si>
  <si>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</si>
  <si>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</si>
  <si>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</si>
  <si>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</si>
  <si>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</si>
  <si>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</si>
  <si>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</si>
  <si>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</si>
  <si>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</si>
  <si>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</si>
  <si>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</si>
  <si>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</si>
  <si>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</si>
  <si>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</si>
  <si>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</si>
  <si>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</si>
  <si>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</si>
  <si>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</si>
  <si>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</si>
  <si>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</si>
  <si>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</si>
  <si>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</si>
  <si>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</si>
  <si>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</si>
  <si>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</si>
  <si>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</si>
  <si>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</si>
  <si>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</si>
  <si>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</si>
  <si>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</si>
  <si>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</si>
  <si>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</si>
  <si>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</si>
  <si>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</si>
  <si>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</si>
  <si>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</si>
  <si>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</si>
  <si>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</si>
  <si>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</si>
  <si>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</si>
  <si>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</si>
  <si>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</si>
  <si>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</si>
  <si>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</si>
  <si>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</si>
  <si>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</si>
  <si>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</si>
  <si>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</si>
  <si>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</si>
  <si>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</si>
  <si>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</si>
  <si>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</si>
  <si>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</si>
  <si>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</si>
  <si>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</si>
  <si>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</si>
  <si>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</si>
  <si>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</si>
  <si>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</si>
  <si>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</si>
  <si>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</si>
  <si>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</si>
  <si>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</si>
  <si>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</si>
  <si>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</si>
  <si>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</si>
  <si>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</si>
  <si>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</si>
  <si>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</si>
  <si>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</si>
  <si>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</si>
  <si>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</si>
  <si>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</si>
  <si>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</si>
  <si>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</si>
  <si>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</si>
  <si>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</si>
  <si>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</si>
  <si>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</si>
  <si>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</si>
  <si>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</si>
  <si>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</si>
  <si>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</si>
  <si>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</si>
  <si>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</si>
  <si>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</si>
  <si>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</si>
  <si>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</si>
  <si>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</si>
  <si>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</si>
  <si>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</si>
  <si>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</si>
  <si>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</si>
  <si>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</si>
  <si>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</si>
  <si>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</si>
  <si>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</si>
  <si>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</si>
  <si>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</si>
  <si>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</si>
  <si>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</si>
  <si>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</si>
  <si>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</si>
  <si>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</si>
  <si>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</si>
  <si>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</si>
  <si>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</si>
  <si>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</si>
  <si>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</si>
  <si>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</si>
  <si>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</si>
  <si>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</si>
  <si>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</si>
  <si>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</si>
  <si>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</si>
  <si>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</si>
  <si>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</si>
  <si>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</si>
  <si>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</si>
  <si>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</si>
  <si>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</si>
  <si>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</si>
  <si>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</si>
  <si>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</si>
  <si>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</si>
  <si>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</si>
  <si>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</si>
  <si>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</si>
  <si>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</si>
  <si>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</si>
  <si>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</si>
  <si>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</si>
  <si>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</si>
  <si>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</si>
  <si>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</si>
  <si>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</si>
  <si>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</si>
  <si>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</si>
  <si>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</si>
  <si>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</si>
  <si>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</si>
  <si>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</si>
  <si>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</si>
  <si>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</si>
  <si>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</si>
  <si>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</si>
  <si>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</si>
  <si>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</si>
  <si>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</si>
  <si>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</si>
  <si>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</si>
  <si>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</si>
  <si>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</si>
  <si>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</si>
  <si>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</si>
  <si>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</si>
  <si>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</si>
  <si>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</si>
  <si>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</si>
  <si>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</si>
  <si>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</si>
  <si>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</si>
  <si>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</si>
  <si>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</si>
  <si>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</si>
  <si>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</si>
  <si>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</si>
  <si>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</si>
  <si>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</si>
  <si>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</si>
  <si>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</si>
  <si>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</si>
  <si>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</si>
  <si>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</si>
  <si>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</si>
  <si>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</si>
  <si>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</si>
  <si>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</si>
  <si>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</si>
  <si>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</si>
  <si>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</si>
  <si>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</si>
  <si>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</si>
  <si>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</si>
  <si>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</si>
  <si>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</si>
  <si>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</si>
  <si>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</si>
  <si>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</si>
  <si>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</si>
  <si>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</si>
  <si>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</si>
  <si>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</si>
  <si>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</si>
  <si>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</si>
  <si>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</si>
  <si>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</si>
  <si>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</si>
  <si>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</si>
  <si>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</si>
  <si>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</si>
  <si>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</si>
  <si>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</si>
  <si>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</si>
  <si>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</si>
  <si>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</si>
  <si>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</si>
  <si>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</si>
  <si>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</si>
  <si>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</si>
  <si>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</si>
  <si>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</si>
  <si>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</si>
  <si>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</si>
  <si>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</si>
  <si>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</si>
  <si>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</si>
  <si>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</si>
  <si>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</si>
  <si>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</si>
  <si>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</si>
  <si>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</si>
  <si>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</si>
  <si>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</si>
  <si>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</si>
  <si>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</si>
  <si>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</si>
  <si>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</si>
  <si>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</si>
  <si>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</si>
  <si>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</si>
  <si>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</si>
  <si>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</si>
  <si>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</si>
  <si>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</si>
  <si>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</si>
  <si>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</si>
  <si>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</si>
  <si>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</si>
  <si>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</si>
  <si>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</si>
  <si>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</si>
  <si>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</si>
  <si>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</si>
  <si>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</si>
  <si>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</si>
  <si>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</si>
  <si>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</si>
  <si>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</si>
  <si>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</si>
  <si>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</si>
  <si>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</si>
  <si>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</si>
  <si>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</si>
  <si>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</si>
  <si>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</si>
  <si>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</si>
  <si>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</si>
  <si>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</si>
  <si>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</si>
  <si>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</si>
  <si>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</si>
  <si>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</si>
  <si>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</si>
  <si>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</si>
  <si>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</si>
  <si>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</si>
  <si>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</si>
  <si>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</si>
  <si>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</si>
  <si>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</si>
  <si>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</si>
  <si>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</si>
  <si>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</si>
  <si>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</si>
  <si>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</si>
  <si>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</si>
  <si>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</si>
  <si>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</si>
  <si>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</si>
  <si>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</si>
  <si>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</si>
  <si>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</si>
  <si>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</si>
  <si>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</si>
  <si>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</si>
  <si>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</si>
  <si>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</si>
  <si>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</si>
  <si>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</si>
  <si>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</si>
  <si>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</si>
  <si>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</si>
  <si>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</si>
  <si>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</si>
  <si>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</si>
  <si>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</si>
  <si>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</si>
  <si>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</si>
  <si>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</si>
  <si>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</si>
  <si>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</si>
  <si>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</si>
  <si>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</si>
  <si>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</si>
  <si>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</si>
  <si>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</si>
  <si>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</si>
  <si>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</si>
  <si>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</si>
  <si>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</si>
  <si>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</si>
  <si>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</si>
  <si>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</si>
  <si>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</si>
  <si>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</si>
  <si>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</si>
  <si>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</si>
  <si>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</si>
  <si>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</si>
  <si>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</si>
  <si>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</si>
  <si>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</si>
  <si>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</si>
  <si>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</si>
  <si>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</si>
  <si>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</si>
  <si>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</si>
  <si>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</si>
  <si>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</si>
  <si>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</si>
  <si>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</si>
  <si>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</si>
  <si>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</si>
  <si>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</si>
  <si>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</si>
  <si>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</si>
  <si>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</si>
  <si>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</si>
  <si>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</si>
  <si>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</si>
  <si>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</si>
  <si>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</si>
  <si>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</si>
  <si>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</si>
  <si>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</si>
  <si>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</si>
  <si>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</si>
  <si>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</si>
  <si>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</si>
  <si>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</si>
  <si>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</si>
  <si>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</si>
  <si>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</si>
  <si>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</si>
  <si>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</si>
  <si>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</si>
  <si>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</si>
  <si>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</si>
  <si>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</si>
  <si>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</si>
  <si>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</si>
  <si>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</si>
  <si>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</si>
  <si>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</si>
  <si>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</si>
  <si>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</si>
  <si>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</si>
  <si>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</si>
  <si>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</si>
  <si>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</si>
  <si>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</si>
  <si>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</si>
  <si>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</si>
  <si>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</si>
  <si>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</si>
  <si>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</si>
  <si>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</si>
  <si>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</si>
  <si>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</si>
  <si>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</si>
  <si>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</si>
  <si>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</si>
  <si>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</si>
  <si>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</si>
  <si>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</si>
  <si>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</si>
  <si>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</si>
  <si>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</si>
  <si>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</si>
  <si>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</si>
  <si>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</si>
  <si>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</si>
  <si>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</si>
  <si>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</si>
  <si>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</si>
  <si>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</si>
  <si>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</si>
  <si>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</si>
  <si>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</si>
  <si>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</si>
  <si>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</si>
  <si>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</si>
  <si>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</si>
  <si>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</si>
  <si>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</si>
  <si>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</si>
  <si>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</si>
  <si>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</si>
  <si>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</si>
  <si>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</si>
  <si>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</si>
  <si>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</si>
  <si>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</si>
  <si>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</si>
  <si>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</si>
  <si>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</si>
  <si>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</si>
  <si>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</si>
  <si>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</si>
  <si>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</si>
  <si>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</si>
  <si>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</si>
  <si>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</si>
  <si>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</si>
  <si>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</si>
  <si>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</si>
  <si>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</si>
  <si>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</si>
  <si>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</si>
  <si>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</si>
  <si>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</si>
  <si>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</si>
  <si>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</si>
  <si>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</si>
  <si>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</si>
  <si>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</si>
  <si>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</si>
  <si>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</si>
  <si>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</si>
  <si>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</si>
  <si>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</si>
  <si>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</si>
  <si>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</si>
  <si>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</si>
  <si>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</si>
  <si>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</si>
  <si>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</si>
  <si>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</si>
  <si>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</si>
  <si>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</si>
  <si>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</si>
  <si>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</si>
  <si>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</si>
  <si>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</si>
  <si>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</si>
  <si>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</si>
  <si>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</si>
  <si>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</si>
  <si>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</si>
  <si>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</si>
  <si>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</si>
  <si>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</si>
  <si>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</si>
  <si>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</si>
  <si>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</si>
  <si>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</si>
  <si>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</si>
  <si>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</si>
  <si>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</si>
  <si>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</si>
  <si>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</si>
  <si>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</si>
  <si>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</si>
  <si>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</si>
  <si>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</si>
  <si>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</si>
  <si>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</si>
  <si>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</si>
  <si>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</si>
  <si>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</si>
  <si>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</si>
  <si>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</si>
  <si>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</si>
  <si>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</si>
  <si>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</si>
  <si>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</si>
  <si>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</si>
  <si>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</si>
  <si>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</si>
  <si>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</si>
  <si>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</si>
  <si>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</si>
  <si>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</si>
  <si>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</si>
  <si>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</si>
  <si>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</si>
  <si>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</si>
  <si>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</si>
  <si>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</si>
  <si>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</si>
  <si>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</si>
  <si>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</si>
  <si>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</si>
  <si>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</si>
  <si>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</si>
  <si>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</si>
  <si>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</si>
  <si>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</si>
  <si>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</si>
  <si>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</si>
  <si>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</si>
  <si>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</si>
  <si>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</si>
  <si>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</si>
  <si>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</si>
  <si>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</si>
  <si>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</si>
  <si>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</si>
  <si>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</si>
  <si>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</si>
  <si>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</si>
  <si>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</si>
  <si>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</si>
  <si>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</si>
  <si>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</si>
  <si>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</si>
  <si>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</si>
  <si>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</si>
  <si>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</si>
  <si>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</si>
  <si>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</si>
  <si>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</si>
  <si>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</si>
  <si>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</si>
  <si>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</si>
  <si>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</si>
  <si>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</si>
  <si>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</si>
  <si>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</si>
  <si>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</si>
  <si>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</si>
  <si>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</si>
  <si>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</si>
  <si>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</si>
  <si>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</si>
  <si>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</si>
  <si>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</si>
  <si>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</si>
  <si>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</si>
  <si>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</si>
  <si>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</si>
  <si>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</si>
  <si>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</si>
  <si>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</si>
  <si>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</si>
  <si>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</si>
  <si>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</si>
  <si>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</si>
  <si>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</si>
  <si>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</si>
  <si>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</si>
  <si>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</si>
  <si>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</si>
  <si>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</si>
  <si>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</si>
  <si>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</si>
  <si>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</si>
  <si>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</si>
  <si>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</si>
  <si>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</si>
  <si>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</si>
  <si>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</si>
  <si>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</si>
  <si>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</si>
  <si>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</si>
  <si>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</si>
  <si>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</si>
  <si>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</si>
  <si>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</si>
  <si>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</si>
  <si>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</si>
  <si>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</si>
  <si>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</si>
  <si>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</si>
  <si>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</si>
  <si>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</si>
  <si>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</si>
  <si>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</si>
  <si>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</si>
  <si>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</si>
  <si>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</si>
  <si>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</si>
  <si>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</si>
  <si>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</si>
  <si>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</si>
  <si>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</si>
  <si>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</si>
  <si>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</si>
  <si>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</si>
  <si>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</si>
  <si>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</si>
  <si>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</si>
  <si>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</si>
  <si>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</si>
  <si>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</si>
  <si>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</si>
  <si>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</si>
  <si>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</si>
  <si>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</si>
  <si>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</si>
  <si>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</si>
  <si>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</si>
  <si>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</si>
  <si>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</si>
  <si>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</si>
  <si>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</si>
  <si>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</si>
  <si>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</si>
  <si>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</si>
  <si>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</si>
  <si>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</si>
  <si>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</si>
  <si>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</si>
  <si>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</si>
  <si>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</si>
  <si>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</si>
  <si>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</si>
  <si>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</si>
  <si>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</si>
  <si>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</si>
  <si>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</si>
  <si>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</si>
  <si>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</si>
  <si>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</si>
  <si>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</si>
  <si>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</si>
  <si>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</si>
  <si>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</si>
  <si>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</si>
  <si>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</si>
  <si>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</si>
  <si>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</si>
  <si>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</si>
  <si>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</si>
  <si>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</si>
  <si>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</si>
  <si>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</si>
  <si>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</si>
  <si>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</si>
  <si>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</si>
  <si>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</si>
  <si>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</si>
  <si>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</si>
  <si>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</si>
  <si>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</si>
  <si>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</si>
  <si>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</si>
  <si>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</si>
  <si>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</si>
  <si>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</si>
  <si>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</si>
  <si>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</si>
  <si>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</si>
  <si>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</si>
  <si>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</si>
  <si>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</si>
  <si>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</si>
  <si>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</si>
  <si>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</si>
  <si>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</si>
  <si>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</si>
  <si>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</si>
  <si>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</si>
  <si>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</si>
  <si>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</si>
  <si>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</si>
  <si>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</si>
  <si>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</si>
  <si>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</si>
  <si>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</si>
  <si>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</si>
  <si>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</si>
  <si>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</si>
  <si>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</si>
  <si>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</si>
  <si>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</si>
  <si>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</si>
  <si>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</si>
  <si>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</si>
  <si>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</si>
  <si>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</si>
  <si>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</si>
  <si>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</si>
  <si>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</si>
  <si>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</si>
  <si>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</si>
  <si>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</si>
  <si>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</si>
  <si>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</si>
  <si>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</si>
  <si>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</si>
  <si>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</si>
  <si>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</si>
  <si>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</si>
  <si>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</si>
  <si>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</si>
  <si>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</si>
  <si>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</si>
  <si>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</si>
  <si>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</si>
  <si>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</si>
  <si>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</si>
  <si>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</si>
  <si>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</si>
  <si>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</si>
  <si>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</si>
  <si>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</si>
  <si>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</si>
  <si>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</si>
  <si>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</si>
  <si>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</si>
  <si>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</si>
  <si>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</si>
  <si>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</si>
  <si>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</si>
  <si>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</si>
  <si>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</si>
  <si>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</si>
  <si>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</si>
  <si>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</si>
  <si>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</si>
  <si>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</si>
  <si>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</si>
  <si>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</si>
  <si>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</si>
  <si>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</si>
  <si>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</si>
  <si>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</si>
  <si>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</si>
  <si>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</si>
  <si>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</si>
  <si>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</si>
  <si>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</si>
  <si>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</si>
  <si>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</si>
  <si>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</si>
  <si>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</si>
  <si>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</si>
  <si>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</si>
  <si>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</si>
  <si>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</si>
  <si>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</si>
  <si>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</si>
  <si>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</si>
  <si>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</si>
  <si>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</si>
  <si>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</si>
  <si>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</si>
  <si>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</si>
  <si>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</si>
  <si>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</si>
  <si>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</si>
  <si>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</si>
  <si>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</si>
  <si>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</si>
  <si>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</si>
  <si>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</si>
  <si>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</si>
  <si>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</si>
  <si>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</si>
  <si>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</si>
  <si>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</si>
  <si>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</si>
  <si>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</si>
  <si>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</si>
  <si>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</si>
  <si>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</si>
  <si>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</si>
  <si>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</si>
  <si>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</si>
  <si>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</si>
  <si>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</si>
  <si>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</si>
  <si>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</si>
  <si>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</si>
  <si>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</si>
  <si>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</si>
  <si>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</si>
  <si>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</si>
  <si>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</si>
  <si>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</si>
  <si>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</si>
  <si>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</si>
  <si>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</si>
  <si>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</si>
  <si>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</si>
  <si>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</si>
  <si>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</si>
  <si>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</si>
  <si>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</si>
  <si>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</si>
  <si>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</si>
  <si>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</si>
  <si>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</si>
  <si>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</si>
  <si>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</si>
  <si>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</si>
  <si>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</si>
  <si>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</si>
  <si>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</si>
  <si>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</si>
  <si>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</si>
  <si>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</si>
  <si>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</si>
  <si>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</si>
  <si>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</si>
  <si>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</si>
  <si>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</si>
  <si>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</si>
  <si>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</si>
  <si>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</si>
  <si>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</si>
  <si>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</si>
  <si>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</si>
  <si>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</si>
  <si>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</si>
  <si>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</si>
  <si>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</si>
  <si>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</si>
  <si>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</si>
  <si>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</si>
  <si>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</si>
  <si>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</si>
  <si>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</si>
  <si>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</si>
  <si>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</si>
  <si>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</si>
  <si>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</si>
  <si>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</si>
  <si>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</si>
  <si>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</si>
  <si>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</si>
  <si>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</si>
  <si>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</si>
  <si>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</si>
  <si>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</si>
  <si>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</si>
  <si>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</si>
  <si>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</si>
  <si>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</si>
  <si>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</si>
  <si>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</si>
  <si>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</si>
  <si>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</si>
  <si>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</si>
  <si>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</si>
  <si>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</si>
  <si>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</si>
  <si>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</si>
  <si>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</si>
  <si>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</si>
  <si>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</si>
  <si>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</si>
  <si>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</si>
  <si>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</si>
  <si>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</si>
  <si>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</si>
  <si>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</si>
  <si>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</si>
  <si>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</si>
  <si>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</si>
  <si>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</si>
  <si>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</si>
  <si>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</si>
  <si>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</si>
  <si>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</si>
  <si>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</si>
  <si>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</si>
  <si>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</si>
  <si>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</si>
  <si>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</si>
  <si>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</si>
  <si>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</si>
  <si>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</si>
  <si>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</si>
  <si>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</si>
  <si>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</si>
  <si>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</si>
  <si>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</si>
  <si>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</si>
  <si>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</si>
  <si>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</si>
  <si>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</si>
  <si>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</si>
  <si>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</si>
  <si>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</si>
  <si>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</si>
  <si>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</si>
  <si>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</si>
  <si>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</si>
  <si>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</si>
  <si>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</si>
  <si>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</si>
  <si>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</si>
  <si>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</si>
  <si>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</si>
  <si>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</si>
  <si>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</si>
  <si>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</si>
  <si>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</si>
  <si>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</si>
  <si>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</si>
  <si>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</si>
  <si>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</si>
  <si>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</si>
  <si>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</si>
  <si>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</si>
  <si>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</si>
  <si>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</si>
  <si>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</si>
  <si>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</si>
  <si>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</si>
  <si>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</si>
  <si>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</si>
  <si>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</si>
  <si>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</si>
  <si>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</si>
  <si>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</si>
  <si>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</si>
  <si>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</si>
  <si>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</si>
  <si>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</si>
  <si>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</si>
  <si>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</si>
  <si>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</si>
  <si>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</si>
  <si>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</si>
  <si>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</si>
  <si>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</si>
  <si>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</si>
  <si>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</si>
  <si>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</si>
  <si>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</si>
  <si>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</si>
  <si>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</si>
  <si>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</si>
  <si>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</si>
  <si>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</si>
  <si>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</si>
  <si>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</si>
  <si>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</si>
  <si>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</si>
  <si>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</si>
  <si>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</si>
  <si>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</si>
  <si>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</si>
  <si>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</si>
  <si>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</si>
  <si>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</si>
  <si>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</si>
  <si>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</si>
  <si>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</si>
  <si>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</si>
  <si>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</si>
  <si>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</si>
  <si>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</si>
  <si>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</si>
  <si>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</si>
  <si>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</si>
  <si>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</si>
  <si>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</si>
  <si>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</si>
  <si>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</si>
  <si>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</si>
  <si>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</si>
  <si>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</si>
  <si>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</si>
  <si>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</si>
  <si>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</si>
  <si>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</si>
  <si>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</si>
  <si>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</si>
  <si>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</si>
  <si>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</si>
  <si>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</si>
  <si>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</si>
  <si>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</si>
  <si>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</si>
  <si>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</si>
  <si>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</si>
  <si>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</si>
  <si>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</si>
  <si>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</si>
  <si>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</si>
  <si>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</si>
  <si>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</si>
  <si>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</si>
  <si>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</si>
  <si>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</si>
  <si>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</si>
  <si>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</si>
  <si>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</si>
  <si>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</si>
  <si>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</si>
  <si>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</si>
  <si>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</si>
  <si>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</si>
  <si>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</si>
  <si>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</si>
  <si>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</si>
  <si>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</si>
  <si>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</si>
  <si>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</si>
  <si>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</si>
  <si>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</si>
  <si>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</si>
  <si>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</si>
  <si>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</si>
  <si>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</si>
  <si>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</si>
  <si>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</si>
  <si>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</si>
  <si>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</si>
  <si>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</si>
  <si>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</si>
  <si>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</si>
  <si>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</si>
  <si>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</si>
  <si>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</si>
  <si>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</si>
  <si>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</si>
  <si>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</si>
  <si>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</si>
  <si>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</si>
  <si>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</si>
  <si>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</si>
  <si>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</si>
  <si>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</si>
  <si>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</si>
  <si>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</si>
  <si>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</si>
  <si>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</si>
  <si>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</si>
  <si>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</si>
  <si>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</si>
  <si>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</si>
  <si>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</si>
  <si>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</si>
  <si>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</si>
  <si>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</si>
  <si>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</si>
  <si>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</si>
  <si>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</si>
  <si>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</si>
  <si>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</si>
  <si>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</si>
  <si>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</si>
  <si>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</si>
  <si>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</si>
  <si>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</si>
  <si>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</si>
  <si>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</si>
  <si>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</si>
  <si>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</si>
  <si>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</si>
  <si>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</si>
  <si>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</si>
  <si>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</si>
  <si>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</si>
  <si>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</si>
  <si>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</si>
  <si>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</si>
  <si>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</si>
  <si>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</si>
  <si>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</si>
  <si>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</si>
  <si>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</si>
  <si>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</si>
  <si>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</si>
  <si>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</si>
  <si>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</si>
  <si>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</si>
  <si>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</si>
  <si>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</si>
  <si>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</si>
  <si>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</si>
  <si>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</si>
  <si>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</si>
  <si>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</si>
  <si>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</si>
  <si>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</si>
  <si>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</si>
  <si>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</si>
  <si>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</si>
  <si>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</si>
  <si>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</si>
  <si>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</si>
  <si>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</si>
  <si>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</si>
  <si>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</si>
  <si>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</si>
  <si>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</si>
  <si>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</si>
  <si>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</si>
  <si>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</si>
  <si>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</si>
  <si>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</si>
  <si>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</si>
  <si>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</si>
  <si>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</si>
  <si>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</si>
  <si>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</si>
  <si>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</si>
  <si>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</si>
  <si>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</si>
  <si>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</si>
  <si>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</si>
  <si>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</si>
  <si>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</si>
  <si>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</si>
  <si>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</si>
  <si>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</si>
  <si>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</si>
  <si>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</si>
  <si>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</si>
  <si>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</si>
  <si>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</si>
  <si>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</si>
  <si>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</si>
  <si>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</si>
  <si>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</si>
  <si>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</si>
  <si>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</si>
  <si>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</si>
  <si>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</si>
  <si>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</si>
  <si>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</si>
  <si>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</si>
  <si>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</si>
  <si>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</si>
  <si>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</si>
  <si>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</si>
  <si>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</si>
  <si>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</si>
  <si>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</si>
  <si>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</si>
  <si>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</si>
  <si>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</si>
  <si>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</si>
  <si>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</si>
  <si>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</si>
  <si>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</si>
  <si>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</si>
  <si>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</si>
  <si>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</si>
  <si>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</si>
  <si>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</si>
  <si>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</si>
  <si>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</si>
  <si>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</si>
  <si>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</si>
  <si>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</si>
  <si>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</si>
  <si>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</si>
  <si>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</si>
  <si>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</si>
  <si>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</si>
  <si>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</si>
  <si>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</si>
  <si>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</si>
  <si>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</si>
  <si>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</si>
  <si>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</si>
  <si>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</si>
  <si>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</si>
  <si>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</si>
  <si>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</si>
  <si>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</si>
  <si>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</si>
  <si>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</si>
  <si>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</si>
  <si>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</si>
  <si>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</si>
  <si>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</si>
  <si>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</si>
  <si>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</si>
  <si>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</si>
  <si>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</si>
  <si>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</si>
  <si>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</si>
  <si>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</si>
  <si>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</si>
  <si>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</si>
  <si>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</si>
  <si>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</si>
  <si>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</si>
  <si>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</si>
  <si>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</si>
  <si>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</si>
  <si>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</si>
  <si>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</si>
  <si>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</si>
  <si>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</si>
  <si>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</si>
  <si>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</si>
  <si>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</si>
  <si>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</si>
  <si>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</si>
  <si>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</si>
  <si>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</si>
  <si>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</si>
  <si>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</si>
  <si>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</si>
  <si>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</si>
  <si>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</si>
  <si>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</si>
  <si>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</si>
  <si>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</si>
  <si>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</si>
  <si>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</si>
  <si>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</si>
  <si>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</si>
  <si>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</si>
  <si>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</si>
  <si>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</si>
  <si>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</si>
  <si>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</si>
  <si>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</si>
  <si>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</si>
  <si>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</si>
  <si>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</si>
  <si>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</si>
  <si>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</si>
  <si>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</si>
  <si>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</si>
  <si>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</si>
  <si>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</si>
  <si>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</si>
  <si>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</si>
  <si>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</si>
  <si>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</si>
  <si>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</si>
  <si>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</si>
  <si>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</si>
  <si>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</si>
  <si>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</si>
  <si>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</si>
  <si>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</si>
  <si>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</si>
  <si>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</si>
  <si>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</si>
  <si>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</si>
  <si>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</si>
  <si>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</si>
  <si>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</si>
  <si>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</si>
  <si>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</si>
  <si>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</si>
  <si>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</si>
  <si>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</si>
  <si>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</si>
  <si>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</si>
  <si>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</si>
  <si>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</si>
  <si>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</si>
  <si>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</si>
  <si>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</si>
  <si>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</si>
  <si>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</si>
  <si>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</si>
  <si>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</si>
  <si>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</si>
  <si>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</si>
  <si>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</si>
  <si>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</si>
  <si>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</si>
  <si>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</si>
  <si>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</si>
  <si>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</si>
  <si>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</si>
  <si>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</si>
  <si>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</si>
  <si>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</si>
  <si>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</si>
  <si>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</si>
  <si>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</si>
  <si>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</si>
  <si>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</si>
  <si>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</si>
  <si>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</si>
  <si>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</si>
  <si>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</si>
  <si>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</si>
  <si>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</si>
  <si>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</si>
  <si>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</si>
  <si>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</si>
  <si>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</si>
  <si>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</si>
  <si>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</si>
  <si>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</si>
  <si>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</si>
  <si>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</si>
  <si>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</si>
  <si>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</si>
  <si>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</si>
  <si>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</si>
  <si>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</si>
  <si>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</si>
  <si>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</si>
  <si>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</si>
  <si>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</si>
  <si>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</si>
  <si>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</si>
  <si>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</si>
  <si>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</si>
  <si>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</si>
  <si>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</si>
  <si>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</si>
  <si>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</si>
  <si>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</si>
  <si>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</si>
  <si>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</si>
  <si>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</si>
  <si>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</si>
  <si>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</si>
  <si>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</si>
  <si>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</si>
  <si>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</si>
  <si>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</si>
  <si>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</si>
  <si>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</si>
  <si>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</si>
  <si>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</si>
  <si>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</si>
  <si>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</si>
  <si>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</si>
  <si>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</si>
  <si>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</si>
  <si>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</si>
  <si>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</si>
  <si>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</si>
  <si>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</si>
  <si>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</si>
  <si>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</si>
  <si>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</si>
  <si>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</si>
  <si>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</si>
  <si>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</si>
  <si>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</si>
  <si>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</si>
  <si>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</si>
  <si>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</si>
  <si>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</si>
  <si>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</si>
  <si>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</si>
  <si>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</si>
  <si>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</si>
  <si>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</si>
  <si>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</si>
  <si>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</si>
  <si>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</si>
  <si>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</si>
  <si>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</si>
  <si>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</si>
  <si>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</si>
  <si>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</si>
  <si>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</si>
  <si>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</si>
  <si>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</si>
  <si>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</si>
  <si>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</si>
  <si>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</si>
  <si>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</si>
  <si>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</si>
  <si>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</si>
  <si>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</si>
  <si>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</si>
  <si>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</si>
  <si>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</si>
  <si>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</si>
  <si>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</si>
  <si>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</si>
  <si>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</si>
  <si>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</si>
  <si>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</si>
  <si>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</si>
  <si>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</si>
  <si>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</si>
  <si>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</si>
  <si>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</si>
  <si>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</si>
  <si>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</si>
  <si>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</si>
  <si>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</si>
  <si>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</si>
  <si>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</si>
  <si>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</si>
  <si>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</si>
  <si>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</si>
  <si>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</si>
  <si>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</si>
  <si>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</si>
  <si>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</si>
  <si>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</si>
  <si>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</si>
  <si>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</si>
  <si>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</si>
  <si>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</si>
  <si>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</si>
  <si>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</si>
  <si>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</si>
  <si>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</si>
  <si>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</si>
  <si>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</si>
  <si>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</si>
  <si>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</si>
  <si>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</si>
  <si>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</si>
  <si>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</si>
  <si>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</si>
  <si>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</si>
  <si>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</si>
  <si>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</si>
  <si>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</si>
  <si>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</si>
  <si>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</si>
  <si>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</si>
  <si>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</si>
  <si>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</si>
  <si>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</si>
  <si>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</si>
  <si>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</si>
  <si>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</si>
  <si>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</si>
  <si>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</si>
  <si>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</si>
  <si>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</si>
  <si>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</si>
  <si>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</si>
  <si>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</si>
  <si>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</si>
  <si>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</si>
  <si>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</si>
  <si>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</si>
  <si>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</si>
  <si>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</si>
  <si>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</si>
  <si>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</si>
  <si>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</si>
  <si>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</si>
  <si>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</si>
  <si>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</si>
  <si>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</si>
  <si>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</si>
  <si>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</si>
  <si>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</si>
  <si>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</si>
  <si>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</si>
  <si>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</si>
  <si>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</si>
  <si>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</si>
  <si>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</si>
  <si>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</si>
  <si>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</si>
  <si>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</si>
  <si>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</si>
  <si>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</si>
  <si>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</si>
  <si>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</si>
  <si>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</si>
  <si>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</si>
  <si>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</si>
  <si>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</si>
  <si>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</si>
  <si>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</si>
  <si>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</si>
  <si>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</si>
  <si>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</si>
  <si>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</si>
  <si>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</si>
  <si>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</si>
  <si>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</si>
  <si>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</si>
  <si>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</si>
  <si>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</si>
  <si>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</si>
  <si>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</si>
  <si>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</si>
  <si>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</si>
  <si>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</si>
  <si>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</si>
  <si>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</si>
  <si>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</si>
  <si>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</si>
  <si>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</si>
  <si>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</si>
  <si>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</si>
  <si>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</si>
  <si>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</si>
  <si>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</si>
  <si>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</si>
  <si>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</si>
  <si>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</si>
  <si>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</si>
  <si>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</si>
  <si>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</si>
  <si>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</si>
  <si>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</si>
  <si>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</si>
  <si>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</si>
  <si>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</si>
  <si>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</si>
  <si>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</si>
  <si>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</si>
  <si>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</si>
  <si>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</si>
  <si>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</si>
  <si>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</si>
  <si>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</si>
  <si>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</si>
  <si>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</si>
  <si>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</si>
  <si>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</si>
  <si>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</si>
  <si>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</si>
  <si>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</si>
  <si>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</si>
  <si>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</si>
  <si>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</si>
  <si>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</si>
  <si>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</si>
  <si>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</si>
  <si>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</si>
  <si>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</si>
  <si>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</si>
  <si>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</si>
  <si>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</si>
  <si>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</si>
  <si>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</si>
  <si>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</si>
  <si>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</si>
  <si>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</si>
  <si>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</si>
  <si>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</si>
  <si>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</si>
  <si>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</si>
  <si>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</si>
  <si>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</si>
  <si>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</si>
  <si>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</si>
  <si>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</si>
  <si>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</si>
  <si>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</si>
  <si>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</si>
  <si>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</si>
  <si>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</si>
  <si>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</si>
  <si>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</si>
  <si>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</si>
  <si>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</si>
  <si>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</si>
  <si>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</si>
  <si>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</si>
  <si>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</si>
  <si>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</si>
  <si>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</si>
  <si>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</si>
  <si>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</si>
  <si>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</si>
  <si>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</si>
  <si>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</si>
  <si>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</si>
  <si>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</si>
  <si>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</si>
  <si>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</si>
  <si>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</si>
  <si>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</si>
  <si>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</si>
  <si>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</si>
  <si>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</si>
  <si>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</si>
  <si>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</si>
  <si>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</si>
  <si>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</si>
  <si>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</si>
  <si>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</si>
  <si>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</si>
  <si>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</si>
  <si>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</si>
  <si>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</si>
  <si>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</si>
  <si>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</si>
  <si>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</si>
  <si>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</si>
  <si>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</si>
  <si>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</si>
  <si>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</si>
  <si>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</si>
  <si>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</si>
  <si>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</si>
  <si>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</si>
  <si>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</si>
  <si>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</si>
  <si>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</si>
  <si>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</si>
  <si>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</si>
  <si>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</si>
  <si>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</si>
  <si>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</si>
  <si>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</si>
  <si>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</si>
  <si>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</si>
  <si>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</si>
  <si>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</si>
  <si>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</si>
  <si>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</si>
  <si>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</si>
  <si>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</si>
  <si>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</si>
  <si>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</si>
  <si>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</si>
  <si>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</si>
  <si>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</si>
  <si>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</si>
  <si>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</si>
  <si>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</si>
  <si>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</si>
  <si>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</si>
  <si>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</si>
  <si>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</si>
  <si>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</si>
  <si>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</si>
  <si>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</si>
  <si>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</si>
  <si>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</si>
  <si>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</si>
  <si>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</si>
  <si>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</si>
  <si>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</si>
  <si>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</si>
  <si>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</si>
  <si>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</si>
  <si>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</si>
  <si>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</si>
  <si>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</si>
  <si>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</si>
  <si>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</si>
  <si>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</si>
  <si>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</si>
  <si>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</si>
  <si>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</si>
  <si>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</si>
  <si>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</si>
  <si>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</si>
  <si>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</si>
  <si>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</si>
  <si>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</si>
  <si>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</si>
  <si>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</si>
  <si>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</si>
  <si>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</si>
  <si>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</si>
  <si>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</si>
  <si>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</si>
  <si>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</si>
  <si>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</si>
  <si>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</si>
  <si>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</si>
  <si>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</si>
  <si>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</si>
  <si>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</si>
  <si>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</si>
  <si>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</si>
  <si>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</si>
  <si>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</si>
  <si>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</si>
  <si>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</si>
  <si>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</si>
  <si>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</si>
  <si>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</si>
  <si>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</si>
  <si>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</si>
  <si>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</si>
  <si>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</si>
  <si>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</si>
  <si>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</si>
  <si>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</si>
  <si>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</si>
  <si>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</si>
  <si>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</si>
  <si>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</si>
  <si>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</si>
  <si>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</si>
  <si>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</si>
  <si>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</si>
  <si>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</si>
  <si>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</si>
  <si>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</si>
  <si>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</si>
  <si>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</si>
  <si>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</si>
  <si>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</si>
  <si>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</si>
  <si>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</si>
  <si>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</si>
  <si>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</si>
  <si>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</si>
  <si>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</si>
  <si>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</si>
  <si>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</si>
  <si>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</si>
  <si>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</si>
  <si>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</si>
  <si>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</si>
  <si>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</si>
  <si>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</si>
  <si>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</si>
  <si>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</si>
  <si>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</si>
  <si>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</si>
  <si>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</si>
  <si>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</si>
  <si>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</si>
  <si>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</si>
  <si>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</si>
  <si>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</si>
  <si>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</si>
  <si>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</si>
  <si>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</si>
  <si>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</si>
  <si>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</si>
  <si>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</si>
  <si>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</si>
  <si>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</si>
  <si>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</si>
  <si>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</si>
  <si>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</si>
  <si>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</si>
  <si>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</si>
  <si>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</si>
  <si>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</si>
  <si>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</si>
  <si>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</si>
  <si>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</si>
  <si>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</si>
  <si>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</si>
  <si>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</si>
  <si>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</si>
  <si>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</si>
  <si>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</si>
  <si>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</si>
  <si>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</si>
  <si>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</si>
  <si>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</si>
  <si>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</si>
  <si>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</si>
  <si>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</si>
  <si>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</si>
  <si>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</si>
  <si>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</si>
  <si>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</si>
  <si>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</si>
  <si>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</si>
  <si>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</si>
  <si>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</si>
  <si>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</si>
  <si>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</si>
  <si>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</si>
  <si>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</si>
  <si>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</si>
  <si>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</si>
  <si>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</si>
  <si>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</si>
  <si>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</si>
  <si>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</si>
  <si>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</si>
  <si>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</si>
  <si>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</si>
  <si>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</si>
  <si>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</si>
  <si>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</si>
  <si>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</si>
  <si>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</si>
  <si>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</si>
  <si>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</si>
  <si>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</si>
  <si>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</si>
  <si>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</si>
  <si>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</si>
  <si>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</si>
  <si>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</si>
  <si>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</si>
  <si>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</si>
  <si>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</si>
  <si>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</si>
  <si>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</si>
  <si>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</si>
  <si>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</si>
  <si>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</si>
  <si>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</si>
  <si>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</si>
  <si>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</si>
  <si>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</si>
  <si>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</si>
  <si>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</si>
  <si>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</si>
  <si>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</si>
  <si>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</si>
  <si>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</si>
  <si>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</si>
  <si>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</si>
  <si>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</si>
  <si>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</si>
  <si>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</si>
  <si>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</si>
  <si>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</si>
  <si>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</si>
  <si>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</si>
  <si>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</si>
  <si>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</si>
  <si>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</si>
  <si>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</si>
  <si>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</si>
  <si>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</si>
  <si>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</si>
  <si>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</si>
  <si>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</si>
  <si>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</si>
  <si>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</si>
  <si>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</si>
  <si>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</si>
  <si>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</si>
  <si>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</si>
  <si>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</si>
  <si>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</si>
  <si>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</si>
  <si>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</si>
  <si>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</si>
  <si>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</si>
  <si>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</si>
  <si>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</si>
  <si>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</si>
  <si>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</si>
  <si>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</si>
  <si>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</si>
  <si>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</si>
  <si>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</si>
  <si>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</si>
  <si>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</si>
  <si>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</si>
  <si>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</si>
  <si>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</si>
  <si>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</si>
  <si>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</si>
  <si>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</si>
  <si>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</si>
  <si>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</si>
  <si>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</si>
  <si>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</si>
  <si>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</si>
  <si>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</si>
  <si>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</si>
  <si>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</si>
  <si>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</si>
  <si>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</si>
  <si>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</si>
  <si>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</si>
  <si>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</si>
  <si>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</si>
  <si>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</si>
  <si>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</si>
  <si>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</si>
  <si>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</si>
  <si>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</si>
  <si>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</si>
  <si>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</si>
  <si>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</si>
  <si>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</si>
  <si>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</si>
  <si>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</si>
  <si>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</si>
  <si>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</si>
  <si>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</si>
  <si>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</si>
  <si>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</si>
  <si>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</si>
  <si>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</si>
  <si>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</si>
  <si>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</si>
  <si>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</si>
  <si>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</si>
  <si>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</si>
  <si>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</si>
  <si>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</si>
  <si>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</si>
  <si>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</si>
  <si>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</si>
  <si>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</si>
  <si>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</si>
  <si>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</si>
  <si>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</si>
  <si>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</si>
  <si>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</si>
  <si>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</si>
  <si>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</si>
  <si>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</si>
  <si>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</si>
  <si>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</si>
  <si>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</si>
  <si>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</si>
  <si>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</si>
  <si>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</si>
  <si>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</si>
  <si>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</si>
  <si>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</si>
  <si>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</si>
  <si>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</si>
  <si>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</si>
  <si>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</si>
  <si>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</si>
  <si>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</si>
  <si>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</si>
  <si>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</si>
  <si>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</si>
  <si>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</si>
  <si>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</si>
  <si>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</si>
  <si>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</si>
  <si>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</si>
  <si>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</si>
  <si>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</si>
  <si>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</si>
  <si>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</si>
  <si>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</si>
  <si>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</si>
  <si>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</si>
  <si>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</si>
  <si>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</si>
  <si>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</si>
  <si>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</si>
  <si>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</si>
  <si>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</si>
  <si>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</si>
  <si>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</si>
  <si>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</si>
  <si>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</si>
  <si>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</si>
  <si>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</si>
  <si>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</si>
  <si>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</si>
  <si>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</si>
  <si>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</si>
  <si>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</si>
  <si>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</si>
  <si>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</si>
  <si>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</si>
  <si>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</si>
  <si>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</si>
  <si>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</si>
  <si>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</si>
  <si>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</si>
  <si>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</si>
  <si>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</si>
  <si>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</si>
  <si>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</si>
  <si>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</si>
  <si>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</si>
  <si>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</si>
  <si>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</si>
  <si>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</si>
  <si>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</si>
  <si>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</si>
  <si>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</si>
  <si>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</si>
  <si>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</si>
  <si>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</si>
  <si>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</si>
  <si>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</si>
  <si>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</si>
  <si>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</si>
  <si>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</si>
  <si>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</si>
  <si>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</si>
  <si>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</si>
  <si>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</si>
  <si>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</si>
  <si>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</si>
  <si>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</si>
  <si>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</si>
  <si>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</si>
  <si>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</si>
  <si>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</si>
  <si>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</si>
  <si>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</si>
  <si>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</si>
  <si>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</si>
  <si>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</si>
  <si>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</si>
  <si>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</si>
  <si>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</si>
  <si>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</si>
  <si>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</si>
  <si>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</si>
  <si>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</si>
  <si>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</si>
  <si>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</si>
  <si>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</si>
  <si>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</si>
  <si>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</si>
  <si>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</si>
  <si>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</si>
  <si>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</si>
  <si>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</si>
  <si>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</si>
  <si>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</si>
  <si>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</si>
  <si>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</si>
  <si>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</si>
  <si>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</si>
  <si>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</si>
  <si>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</si>
  <si>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</si>
  <si>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</si>
  <si>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</si>
  <si>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</si>
  <si>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</si>
  <si>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</si>
  <si>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</si>
  <si>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</si>
  <si>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</si>
  <si>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</si>
  <si>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</si>
  <si>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</si>
  <si>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</si>
  <si>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</si>
  <si>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</si>
  <si>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</si>
  <si>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</si>
  <si>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</si>
  <si>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</si>
  <si>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</si>
  <si>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</si>
  <si>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</si>
  <si>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</si>
  <si>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</si>
  <si>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</si>
  <si>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</si>
  <si>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</si>
  <si>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</si>
  <si>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</si>
  <si>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</si>
  <si>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</si>
  <si>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</si>
  <si>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</si>
  <si>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</si>
  <si>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</si>
  <si>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</si>
  <si>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</si>
  <si>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</si>
  <si>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</si>
  <si>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</si>
  <si>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</si>
  <si>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</si>
  <si>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</si>
  <si>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</si>
  <si>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</si>
  <si>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</si>
  <si>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</si>
  <si>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</si>
  <si>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</si>
  <si>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</si>
  <si>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</si>
  <si>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</si>
  <si>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</si>
  <si>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</si>
  <si>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</si>
  <si>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</si>
  <si>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</si>
  <si>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</si>
  <si>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</si>
  <si>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</si>
  <si>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</si>
  <si>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</si>
  <si>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</si>
  <si>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</si>
  <si>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</si>
  <si>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</si>
  <si>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</si>
  <si>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</si>
  <si>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</si>
  <si>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</si>
  <si>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</si>
  <si>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</si>
  <si>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</si>
  <si>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</si>
  <si>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</si>
  <si>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</si>
  <si>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</si>
  <si>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</si>
  <si>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</si>
  <si>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</si>
  <si>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</si>
  <si>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</si>
  <si>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</si>
  <si>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</si>
  <si>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</si>
  <si>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</si>
  <si>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</si>
  <si>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</si>
  <si>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</si>
  <si>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</si>
  <si>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</si>
  <si>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</si>
  <si>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</si>
  <si>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</si>
  <si>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</si>
  <si>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</si>
  <si>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</si>
  <si>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</si>
  <si>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</si>
  <si>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</si>
  <si>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</si>
  <si>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</si>
  <si>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</si>
  <si>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</si>
  <si>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</si>
  <si>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</si>
  <si>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</si>
  <si>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</si>
  <si>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</si>
  <si>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</si>
  <si>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</si>
  <si>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</si>
  <si>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</si>
  <si>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</si>
  <si>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</si>
  <si>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</si>
  <si>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</si>
  <si>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</si>
  <si>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</si>
  <si>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</si>
  <si>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</si>
  <si>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</si>
  <si>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</si>
  <si>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</si>
  <si>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</si>
  <si>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</si>
  <si>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</si>
  <si>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</si>
  <si>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</si>
  <si>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</si>
  <si>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</si>
  <si>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</si>
  <si>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</si>
  <si>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</si>
  <si>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</si>
  <si>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</si>
  <si>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</si>
  <si>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</si>
  <si>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</si>
  <si>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</si>
  <si>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</si>
  <si>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</si>
  <si>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</si>
  <si>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</si>
  <si>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</si>
  <si>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</si>
  <si>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</si>
  <si>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</si>
  <si>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</si>
  <si>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</si>
  <si>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</si>
  <si>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</si>
  <si>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</si>
  <si>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</si>
  <si>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</si>
  <si>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</si>
  <si>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</si>
  <si>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</si>
  <si>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</si>
  <si>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</si>
  <si>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</si>
  <si>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</si>
  <si>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</si>
  <si>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</si>
  <si>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</si>
  <si>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</si>
  <si>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</si>
  <si>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</si>
  <si>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</si>
  <si>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</si>
  <si>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</si>
  <si>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</si>
  <si>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</si>
  <si>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</si>
  <si>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</si>
  <si>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</si>
  <si>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</si>
  <si>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</si>
  <si>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</si>
  <si>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</si>
  <si>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</si>
  <si>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</si>
  <si>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</si>
  <si>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</si>
  <si>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</si>
  <si>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</si>
  <si>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</si>
  <si>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</si>
  <si>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</si>
  <si>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</si>
  <si>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</si>
  <si>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</si>
  <si>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</si>
  <si>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</si>
  <si>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</si>
  <si>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</si>
  <si>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</si>
  <si>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</si>
  <si>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</si>
  <si>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</si>
  <si>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</si>
  <si>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</si>
  <si>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</si>
  <si>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</si>
  <si>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</si>
  <si>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</si>
  <si>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</si>
  <si>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</si>
  <si>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</si>
  <si>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</si>
  <si>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</si>
  <si>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</si>
  <si>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</si>
  <si>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</si>
  <si>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</si>
  <si>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</si>
  <si>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</si>
  <si>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</si>
  <si>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</si>
  <si>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</si>
  <si>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</si>
  <si>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</si>
  <si>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</si>
  <si>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</si>
  <si>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</si>
  <si>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</si>
  <si>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</si>
  <si>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</si>
  <si>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</si>
  <si>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</si>
  <si>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</si>
  <si>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</si>
  <si>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</si>
  <si>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</si>
  <si>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</si>
  <si>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</si>
  <si>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</si>
  <si>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</si>
  <si>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</si>
  <si>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</si>
  <si>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</si>
  <si>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</si>
  <si>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</si>
  <si>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</si>
  <si>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</si>
  <si>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</si>
  <si>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</si>
  <si>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</si>
  <si>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</si>
  <si>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</si>
  <si>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</si>
  <si>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</si>
  <si>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</si>
  <si>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</si>
  <si>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</si>
  <si>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</si>
  <si>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</si>
  <si>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</si>
  <si>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</si>
  <si>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</si>
  <si>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</si>
  <si>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</si>
  <si>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</si>
  <si>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</si>
  <si>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</si>
  <si>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</si>
  <si>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</si>
  <si>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</si>
  <si>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</si>
  <si>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</si>
  <si>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</si>
  <si>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</si>
  <si>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</si>
  <si>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</si>
  <si>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</si>
  <si>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</si>
  <si>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</si>
  <si>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</si>
  <si>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</si>
  <si>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</si>
  <si>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</si>
  <si>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</si>
  <si>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</si>
  <si>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</si>
  <si>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</si>
  <si>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</si>
  <si>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</si>
  <si>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</si>
  <si>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</si>
  <si>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</si>
  <si>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</si>
  <si>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</si>
  <si>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</si>
  <si>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</si>
  <si>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</si>
  <si>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</si>
  <si>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</si>
  <si>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</si>
  <si>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</si>
  <si>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</si>
  <si>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</si>
  <si>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</si>
  <si>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</si>
  <si>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</si>
  <si>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</si>
  <si>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</si>
  <si>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</si>
  <si>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</si>
  <si>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</si>
  <si>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</si>
  <si>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</si>
  <si>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</si>
  <si>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</si>
  <si>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</si>
  <si>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</si>
  <si>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</si>
  <si>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</si>
  <si>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</si>
  <si>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</si>
  <si>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</si>
  <si>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</si>
  <si>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</si>
  <si>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</si>
  <si>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</si>
  <si>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</si>
  <si>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</si>
  <si>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</si>
  <si>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</si>
  <si>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</si>
  <si>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</si>
  <si>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</si>
  <si>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</si>
  <si>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</si>
  <si>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</si>
  <si>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</si>
  <si>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</si>
  <si>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</si>
  <si>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</si>
  <si>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</si>
  <si>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</si>
  <si>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</si>
  <si>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</si>
  <si>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</si>
  <si>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</si>
  <si>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</si>
  <si>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</si>
  <si>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</si>
  <si>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</si>
  <si>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</si>
  <si>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</si>
  <si>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</si>
  <si>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</si>
  <si>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</si>
  <si>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</si>
  <si>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</si>
  <si>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</si>
  <si>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</si>
  <si>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</si>
  <si>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</si>
  <si>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</si>
  <si>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</si>
  <si>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</si>
  <si>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</si>
  <si>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</si>
  <si>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</si>
  <si>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</si>
  <si>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</si>
  <si>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</si>
  <si>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</si>
  <si>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</si>
  <si>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</si>
  <si>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</si>
  <si>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</si>
  <si>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</si>
  <si>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</si>
  <si>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</si>
  <si>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</si>
  <si>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</si>
  <si>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</si>
  <si>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</si>
  <si>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</si>
  <si>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</si>
  <si>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</si>
  <si>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</si>
  <si>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</si>
  <si>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</si>
  <si>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</si>
  <si>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</si>
  <si>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</si>
  <si>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</si>
  <si>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</si>
  <si>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</si>
  <si>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</si>
  <si>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</si>
  <si>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</si>
  <si>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</si>
  <si>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</si>
  <si>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</si>
  <si>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</si>
  <si>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</si>
  <si>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</si>
  <si>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</si>
  <si>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</si>
  <si>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</si>
  <si>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</si>
  <si>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</si>
  <si>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</si>
  <si>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</si>
  <si>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</si>
  <si>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</si>
  <si>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</si>
  <si>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</si>
  <si>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</si>
  <si>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</si>
  <si>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</si>
  <si>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</si>
  <si>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</si>
  <si>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</si>
  <si>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</si>
  <si>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</si>
  <si>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</si>
  <si>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</si>
  <si>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</si>
  <si>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</si>
  <si>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</si>
  <si>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</si>
  <si>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</si>
  <si>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</si>
  <si>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</si>
  <si>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</si>
  <si>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</si>
  <si>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</si>
  <si>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</si>
  <si>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</si>
  <si>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</si>
  <si>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</si>
  <si>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</si>
  <si>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</si>
  <si>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</si>
  <si>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</si>
  <si>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</si>
  <si>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</si>
  <si>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</si>
  <si>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</si>
  <si>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</si>
  <si>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</si>
  <si>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</si>
  <si>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</si>
  <si>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</si>
  <si>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</si>
  <si>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</si>
  <si>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</si>
  <si>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</si>
  <si>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</si>
  <si>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</si>
  <si>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</si>
  <si>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</si>
  <si>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</si>
  <si>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</si>
  <si>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</si>
  <si>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</si>
  <si>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</si>
  <si>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</si>
  <si>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</si>
  <si>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</si>
  <si>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</si>
  <si>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</si>
  <si>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</si>
  <si>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</si>
  <si>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</si>
  <si>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</si>
  <si>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</si>
  <si>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</si>
  <si>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</si>
  <si>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</si>
  <si>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</si>
  <si>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</si>
  <si>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</si>
  <si>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</si>
  <si>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</si>
  <si>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</si>
  <si>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</si>
  <si>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</si>
  <si>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</si>
  <si>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</si>
  <si>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</si>
  <si>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</si>
  <si>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</si>
  <si>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</si>
  <si>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</si>
  <si>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</si>
  <si>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</si>
  <si>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</si>
  <si>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</si>
  <si>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</si>
  <si>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</si>
  <si>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</si>
  <si>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</si>
  <si>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</si>
  <si>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</si>
  <si>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</si>
  <si>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</si>
  <si>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</si>
  <si>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</si>
  <si>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</si>
  <si>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</si>
  <si>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</si>
  <si>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</si>
  <si>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</si>
  <si>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</si>
  <si>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</si>
  <si>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</si>
  <si>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</si>
  <si>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</si>
  <si>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</si>
  <si>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</si>
  <si>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</si>
  <si>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</si>
  <si>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</si>
  <si>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</si>
  <si>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</si>
  <si>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</si>
  <si>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</si>
  <si>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</si>
  <si>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</si>
  <si>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</si>
  <si>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</si>
  <si>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</si>
  <si>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</si>
  <si>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</si>
  <si>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</si>
  <si>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</si>
  <si>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</si>
  <si>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</si>
  <si>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</si>
  <si>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</si>
  <si>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</si>
  <si>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</si>
  <si>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</si>
  <si>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</si>
  <si>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</si>
  <si>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</si>
  <si>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</si>
  <si>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</si>
  <si>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</si>
  <si>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</si>
  <si>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</si>
  <si>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</si>
  <si>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</si>
  <si>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</si>
  <si>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</si>
  <si>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</si>
  <si>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</si>
  <si>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</si>
  <si>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</si>
  <si>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</si>
  <si>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</si>
  <si>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</si>
  <si>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</si>
  <si>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</si>
  <si>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</si>
  <si>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</si>
  <si>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</si>
  <si>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</si>
  <si>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</si>
  <si>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</si>
  <si>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</si>
  <si>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</si>
  <si>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</si>
  <si>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</si>
  <si>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</si>
  <si>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</si>
  <si>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</si>
  <si>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</si>
  <si>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</si>
  <si>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</si>
  <si>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</si>
  <si>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</si>
  <si>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</si>
  <si>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</si>
  <si>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</si>
  <si>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</si>
  <si>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</si>
  <si>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</si>
  <si>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</si>
  <si>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</si>
  <si>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</si>
  <si>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</si>
  <si>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</si>
  <si>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</si>
  <si>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</si>
  <si>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</si>
  <si>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</si>
  <si>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</si>
  <si>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</si>
  <si>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</si>
  <si>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</si>
  <si>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</si>
  <si>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</si>
  <si>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</si>
  <si>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</si>
  <si>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</si>
  <si>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</si>
  <si>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</si>
  <si>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</si>
  <si>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</si>
  <si>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</si>
  <si>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</si>
  <si>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</si>
  <si>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</si>
  <si>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</si>
  <si>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</si>
  <si>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</si>
  <si>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</si>
  <si>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</si>
  <si>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</si>
  <si>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</si>
  <si>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</si>
  <si>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</si>
  <si>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</si>
  <si>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</si>
  <si>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</si>
  <si>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</si>
  <si>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</si>
  <si>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</si>
  <si>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</si>
  <si>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</si>
  <si>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</si>
  <si>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</si>
  <si>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</si>
  <si>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</si>
  <si>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</si>
  <si>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</si>
  <si>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</si>
  <si>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</si>
  <si>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</si>
  <si>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</si>
  <si>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</si>
  <si>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</si>
  <si>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</si>
  <si>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</si>
  <si>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</si>
  <si>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</si>
  <si>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</si>
  <si>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</si>
  <si>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</si>
  <si>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</si>
  <si>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</si>
  <si>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</si>
  <si>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</si>
  <si>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</si>
  <si>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</si>
  <si>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</si>
  <si>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</si>
  <si>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</si>
  <si>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</si>
  <si>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</si>
  <si>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</si>
  <si>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</si>
  <si>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</si>
  <si>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</si>
  <si>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</si>
  <si>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</si>
  <si>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</si>
  <si>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</si>
  <si>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</si>
  <si>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</si>
  <si>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</si>
  <si>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</si>
  <si>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</si>
  <si>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</si>
  <si>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</si>
  <si>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</si>
  <si>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</si>
  <si>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</si>
  <si>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</si>
  <si>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</si>
  <si>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</si>
  <si>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</si>
  <si>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</si>
  <si>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</si>
  <si>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</si>
  <si>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</si>
  <si>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</si>
  <si>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</si>
  <si>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</si>
  <si>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</si>
  <si>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</si>
  <si>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</si>
  <si>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</si>
  <si>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</si>
  <si>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</si>
  <si>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</si>
  <si>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</si>
  <si>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</si>
  <si>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</si>
  <si>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</si>
  <si>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</si>
  <si>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</si>
  <si>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</si>
  <si>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</si>
  <si>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</si>
  <si>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</si>
  <si>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</si>
  <si>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</si>
  <si>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</si>
  <si>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</si>
  <si>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</si>
  <si>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</si>
  <si>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</si>
  <si>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</si>
  <si>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</si>
  <si>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</si>
  <si>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</si>
  <si>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</si>
  <si>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</si>
  <si>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</si>
  <si>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</si>
  <si>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</si>
  <si>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</si>
  <si>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</si>
  <si>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</si>
  <si>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</si>
  <si>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</si>
  <si>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</si>
  <si>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</si>
  <si>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</si>
  <si>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</si>
  <si>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</si>
  <si>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</si>
  <si>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</si>
  <si>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</si>
  <si>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</si>
  <si>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</si>
  <si>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</si>
  <si>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</si>
  <si>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</si>
  <si>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</si>
  <si>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</si>
  <si>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</si>
  <si>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</si>
  <si>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</si>
  <si>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</si>
  <si>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</si>
  <si>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</si>
  <si>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</si>
  <si>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</si>
  <si>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</si>
  <si>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</si>
  <si>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</si>
  <si>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</si>
  <si>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</si>
  <si>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</si>
  <si>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</si>
  <si>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</si>
  <si>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</si>
  <si>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</si>
  <si>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</si>
  <si>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</si>
  <si>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</si>
  <si>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</si>
  <si>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</si>
  <si>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</si>
  <si>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</si>
  <si>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</si>
  <si>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</si>
  <si>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</si>
  <si>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</si>
  <si>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</si>
  <si>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</si>
  <si>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</si>
  <si>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</si>
  <si>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</si>
  <si>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</si>
  <si>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</si>
  <si>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</si>
  <si>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</si>
  <si>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</si>
  <si>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</si>
  <si>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</si>
  <si>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</si>
  <si>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</si>
  <si>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</si>
  <si>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</si>
  <si>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</si>
  <si>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</si>
  <si>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</si>
  <si>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</si>
  <si>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</si>
  <si>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</si>
  <si>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</si>
  <si>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</si>
  <si>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</si>
  <si>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</si>
  <si>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</si>
  <si>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</si>
  <si>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</si>
  <si>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</si>
  <si>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</si>
  <si>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</si>
  <si>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</si>
  <si>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</si>
  <si>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</si>
  <si>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</si>
  <si>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</si>
  <si>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</si>
  <si>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</si>
  <si>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</si>
  <si>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</si>
  <si>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</si>
  <si>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</si>
  <si>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</si>
  <si>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</si>
  <si>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</si>
  <si>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</si>
  <si>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</si>
  <si>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</si>
  <si>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</si>
  <si>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</si>
  <si>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</si>
  <si>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</si>
  <si>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</si>
  <si>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</si>
  <si>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</si>
  <si>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</si>
  <si>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</si>
  <si>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</si>
  <si>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</si>
  <si>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</si>
  <si>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</si>
  <si>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</si>
  <si>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</si>
  <si>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</si>
  <si>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</si>
  <si>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</si>
  <si>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</si>
  <si>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</si>
  <si>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</si>
  <si>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</si>
  <si>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</si>
  <si>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</si>
  <si>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</si>
  <si>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</si>
  <si>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</si>
  <si>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</si>
  <si>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</si>
  <si>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</si>
  <si>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</si>
  <si>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</si>
  <si>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</si>
  <si>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</si>
  <si>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</si>
  <si>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</si>
  <si>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</si>
  <si>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</si>
  <si>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</si>
  <si>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</si>
  <si>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</si>
  <si>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</si>
  <si>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</si>
  <si>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</si>
  <si>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</si>
  <si>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</si>
  <si>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</si>
  <si>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</si>
  <si>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</si>
  <si>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</si>
  <si>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</si>
  <si>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</si>
  <si>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</si>
  <si>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</si>
  <si>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</si>
  <si>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</si>
  <si>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</si>
  <si>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</si>
  <si>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</si>
  <si>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</si>
  <si>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</si>
  <si>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</si>
  <si>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</si>
  <si>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</si>
  <si>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</si>
  <si>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</si>
  <si>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</si>
  <si>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</si>
  <si>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</si>
  <si>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</si>
  <si>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</si>
  <si>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</si>
  <si>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</si>
  <si>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</si>
  <si>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</si>
  <si>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</si>
  <si>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</si>
  <si>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</si>
  <si>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</si>
  <si>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</si>
  <si>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</si>
  <si>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</si>
  <si>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</si>
  <si>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</si>
  <si>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</si>
  <si>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</si>
  <si>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</si>
  <si>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</si>
  <si>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</si>
  <si>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</si>
  <si>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</si>
  <si>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</si>
  <si>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</si>
  <si>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</si>
  <si>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</si>
  <si>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</si>
  <si>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</si>
  <si>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</si>
  <si>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</si>
  <si>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</si>
  <si>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</si>
  <si>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</si>
  <si>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</si>
  <si>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</si>
  <si>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</si>
  <si>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</si>
  <si>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</si>
  <si>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</si>
  <si>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</si>
  <si>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</si>
  <si>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</si>
  <si>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</si>
  <si>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</si>
  <si>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</si>
  <si>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</si>
  <si>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</si>
  <si>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</si>
  <si>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</si>
  <si>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</si>
  <si>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</si>
  <si>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</si>
  <si>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</si>
  <si>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</si>
  <si>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</si>
  <si>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</si>
  <si>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</si>
  <si>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</si>
  <si>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</si>
  <si>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</si>
  <si>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</si>
  <si>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</si>
  <si>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</si>
  <si>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</si>
  <si>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</si>
  <si>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</si>
  <si>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</si>
  <si>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</si>
  <si>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</si>
  <si>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</si>
  <si>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</si>
  <si>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</si>
  <si>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</si>
  <si>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</si>
  <si>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</si>
  <si>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</si>
  <si>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</si>
  <si>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</si>
  <si>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</si>
  <si>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</si>
  <si>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</si>
  <si>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</si>
  <si>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</si>
  <si>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</si>
  <si>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</si>
  <si>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</si>
  <si>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</si>
  <si>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</si>
  <si>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</si>
  <si>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</si>
  <si>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</si>
  <si>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</si>
  <si>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</si>
  <si>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</si>
  <si>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</si>
  <si>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</si>
  <si>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</si>
  <si>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</si>
  <si>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</si>
  <si>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</si>
  <si>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</si>
  <si>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</si>
  <si>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</si>
  <si>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</si>
  <si>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</si>
  <si>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</si>
  <si>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</si>
  <si>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</si>
  <si>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</si>
  <si>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</si>
  <si>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</si>
  <si>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</si>
  <si>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</si>
  <si>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</si>
  <si>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</si>
  <si>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</si>
  <si>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</si>
  <si>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</si>
  <si>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</si>
  <si>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</si>
  <si>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</si>
  <si>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</si>
  <si>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</si>
  <si>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</si>
  <si>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</si>
  <si>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</si>
  <si>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</si>
  <si>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</si>
  <si>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</si>
  <si>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</si>
  <si>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</si>
  <si>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</si>
  <si>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</si>
  <si>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</si>
  <si>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</si>
  <si>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</si>
  <si>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</si>
  <si>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</si>
  <si>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</si>
  <si>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</si>
  <si>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</si>
  <si>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</si>
  <si>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</si>
  <si>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</si>
  <si>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</si>
  <si>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</si>
  <si>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</si>
  <si>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</si>
  <si>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</si>
  <si>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</si>
  <si>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</si>
  <si>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</si>
  <si>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</si>
  <si>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</si>
  <si>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</si>
  <si>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</si>
  <si>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</si>
  <si>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</si>
  <si>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</si>
  <si>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</si>
  <si>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</si>
  <si>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</si>
  <si>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</si>
  <si>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</si>
  <si>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</si>
  <si>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</si>
  <si>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</si>
  <si>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</si>
  <si>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</si>
  <si>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</si>
  <si>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</si>
  <si>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</si>
  <si>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</si>
  <si>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</si>
  <si>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</si>
  <si>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</si>
  <si>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</si>
  <si>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</si>
  <si>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</si>
  <si>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</si>
  <si>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</si>
  <si>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</si>
  <si>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</si>
  <si>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</si>
  <si>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</si>
  <si>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</si>
  <si>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</si>
  <si>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</si>
  <si>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</si>
  <si>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</si>
  <si>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</si>
  <si>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</si>
  <si>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</si>
  <si>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</si>
  <si>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</si>
  <si>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</si>
  <si>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</si>
  <si>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</si>
  <si>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</si>
  <si>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</si>
  <si>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</si>
  <si>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</si>
  <si>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</si>
  <si>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</si>
  <si>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</si>
  <si>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</si>
  <si>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</si>
  <si>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</si>
  <si>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</si>
  <si>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</si>
  <si>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</si>
  <si>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</si>
  <si>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</si>
  <si>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</si>
  <si>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</si>
  <si>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</si>
  <si>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</si>
  <si>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</si>
  <si>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</si>
  <si>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</si>
  <si>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</si>
  <si>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</si>
  <si>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</si>
  <si>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</si>
  <si>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</si>
  <si>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</si>
  <si>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</si>
  <si>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</si>
  <si>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</si>
  <si>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</si>
  <si>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</si>
  <si>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</si>
  <si>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</si>
  <si>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</si>
  <si>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</si>
  <si>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</si>
  <si>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</si>
  <si>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</si>
  <si>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</si>
  <si>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</si>
  <si>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</si>
  <si>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</si>
  <si>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</si>
  <si>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</si>
  <si>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</si>
  <si>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</si>
  <si>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</si>
  <si>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</si>
  <si>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</si>
  <si>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</si>
  <si>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</si>
  <si>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</si>
  <si>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</si>
  <si>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</si>
  <si>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</si>
  <si>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</si>
  <si>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</si>
  <si>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</si>
  <si>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</si>
  <si>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</si>
  <si>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</si>
  <si>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</si>
  <si>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</si>
  <si>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</si>
  <si>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</si>
  <si>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</si>
  <si>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</si>
  <si>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</si>
  <si>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</si>
  <si>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</si>
  <si>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</si>
  <si>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</si>
  <si>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</si>
  <si>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</si>
  <si>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</si>
  <si>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</si>
  <si>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</si>
  <si>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</si>
  <si>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</si>
  <si>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</si>
  <si>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</si>
  <si>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</si>
  <si>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</si>
  <si>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</si>
  <si>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</si>
  <si>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</si>
  <si>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</si>
  <si>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</si>
  <si>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</si>
  <si>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</si>
  <si>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</si>
  <si>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</si>
  <si>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</si>
  <si>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</si>
  <si>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</si>
  <si>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</si>
  <si>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</si>
  <si>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</si>
  <si>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</si>
  <si>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</si>
  <si>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</si>
  <si>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</si>
  <si>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</si>
  <si>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</si>
  <si>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</si>
  <si>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</si>
  <si>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</si>
  <si>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</si>
  <si>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</si>
  <si>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</si>
  <si>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</si>
  <si>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</si>
  <si>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</si>
  <si>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</si>
  <si>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</si>
  <si>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</si>
  <si>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</si>
  <si>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</si>
  <si>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</si>
  <si>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</si>
  <si>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</si>
  <si>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</si>
  <si>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</si>
  <si>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</si>
  <si>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</si>
  <si>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</si>
  <si>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</si>
  <si>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</si>
  <si>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</si>
  <si>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</si>
  <si>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</si>
  <si>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</si>
  <si>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</si>
  <si>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</si>
  <si>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</si>
  <si>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</si>
  <si>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</si>
  <si>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</si>
  <si>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</si>
  <si>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</si>
  <si>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</si>
  <si>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</si>
  <si>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</si>
  <si>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</si>
  <si>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</si>
  <si>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</si>
  <si>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</si>
  <si>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</si>
  <si>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</si>
  <si>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</si>
  <si>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</si>
  <si>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</si>
  <si>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</si>
  <si>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</si>
  <si>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</si>
  <si>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</si>
  <si>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</si>
  <si>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</si>
  <si>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</si>
  <si>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</si>
  <si>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</si>
  <si>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</si>
  <si>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</si>
  <si>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</si>
  <si>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</si>
  <si>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</si>
  <si>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</si>
  <si>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</si>
  <si>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</si>
  <si>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</si>
  <si>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</si>
  <si>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</si>
  <si>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</si>
  <si>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</si>
  <si>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</si>
  <si>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</si>
  <si>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</si>
  <si>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</si>
  <si>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</si>
  <si>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</si>
  <si>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</si>
  <si>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</si>
  <si>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</si>
  <si>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</si>
  <si>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</si>
  <si>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</si>
  <si>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</si>
  <si>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</si>
  <si>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</si>
  <si>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</si>
  <si>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</si>
  <si>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</si>
  <si>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</si>
  <si>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</si>
  <si>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</si>
  <si>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</si>
  <si>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</si>
  <si>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</si>
  <si>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</si>
  <si>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</si>
  <si>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</si>
  <si>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</si>
  <si>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</si>
  <si>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</si>
  <si>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</si>
  <si>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</si>
  <si>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</si>
  <si>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</si>
  <si>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</si>
  <si>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</si>
  <si>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</si>
  <si>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</si>
  <si>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</si>
  <si>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</si>
  <si>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</si>
  <si>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</si>
  <si>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</si>
  <si>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</si>
  <si>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</si>
  <si>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</si>
  <si>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</si>
  <si>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</si>
  <si>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</si>
  <si>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</si>
  <si>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</si>
  <si>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</si>
  <si>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</si>
  <si>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</si>
  <si>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</si>
  <si>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</si>
  <si>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</si>
  <si>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</si>
  <si>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</si>
  <si>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</si>
  <si>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</si>
  <si>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</si>
  <si>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</si>
  <si>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</si>
  <si>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</si>
  <si>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</si>
  <si>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</si>
  <si>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</si>
  <si>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</si>
  <si>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</si>
  <si>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</si>
  <si>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</si>
  <si>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</si>
  <si>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</si>
  <si>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</si>
  <si>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</si>
  <si>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</si>
  <si>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</si>
  <si>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</si>
  <si>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</si>
  <si>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</si>
  <si>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</si>
  <si>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</si>
  <si>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</si>
  <si>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</si>
  <si>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</si>
  <si>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</si>
  <si>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</si>
  <si>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</si>
  <si>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</si>
  <si>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</si>
  <si>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</si>
  <si>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</si>
  <si>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</si>
  <si>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</si>
  <si>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</si>
  <si>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</si>
  <si>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</si>
  <si>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</si>
  <si>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</si>
  <si>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</si>
  <si>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</si>
  <si>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</si>
  <si>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</si>
  <si>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</si>
  <si>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</si>
  <si>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</si>
  <si>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</si>
  <si>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</si>
  <si>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</si>
  <si>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</si>
  <si>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</si>
  <si>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</si>
  <si>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</si>
  <si>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</si>
  <si>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</si>
  <si>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</si>
  <si>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</si>
  <si>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</si>
  <si>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</si>
  <si>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</si>
  <si>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</si>
  <si>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</si>
  <si>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</si>
  <si>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</si>
  <si>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</si>
  <si>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</si>
  <si>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</si>
  <si>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</si>
  <si>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</si>
  <si>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</si>
  <si>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</si>
  <si>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</si>
  <si>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</si>
  <si>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</si>
  <si>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</si>
  <si>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</si>
  <si>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</si>
  <si>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</si>
  <si>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</si>
  <si>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</si>
  <si>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</si>
  <si>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</si>
  <si>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</si>
  <si>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</si>
  <si>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</si>
  <si>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</si>
  <si>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</si>
  <si>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</si>
  <si>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</si>
  <si>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</si>
  <si>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</si>
  <si>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</si>
  <si>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</si>
  <si>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</si>
  <si>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</si>
  <si>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</si>
  <si>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</si>
  <si>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</si>
  <si>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</si>
  <si>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</si>
  <si>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</si>
  <si>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</si>
  <si>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</si>
  <si>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</si>
  <si>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</si>
  <si>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</si>
  <si>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</si>
  <si>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</si>
  <si>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</si>
  <si>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</si>
  <si>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</si>
  <si>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</si>
  <si>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</si>
  <si>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</si>
  <si>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</si>
  <si>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</si>
  <si>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</si>
  <si>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</si>
  <si>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</si>
  <si>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</si>
  <si>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</si>
  <si>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</si>
  <si>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</si>
  <si>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</si>
  <si>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</si>
  <si>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</si>
  <si>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</si>
  <si>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</si>
  <si>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</si>
  <si>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</si>
  <si>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</si>
  <si>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</si>
  <si>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</si>
  <si>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</si>
  <si>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</si>
  <si>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</si>
  <si>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</si>
  <si>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</si>
  <si>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</si>
  <si>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</si>
  <si>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</si>
  <si>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</si>
  <si>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</si>
  <si>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</si>
  <si>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</si>
  <si>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</si>
  <si>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</si>
  <si>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</si>
  <si>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</si>
  <si>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</si>
  <si>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</si>
  <si>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</si>
  <si>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</si>
  <si>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</si>
  <si>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</si>
  <si>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</si>
  <si>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</si>
  <si>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</si>
  <si>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</si>
  <si>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</si>
  <si>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</si>
  <si>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</si>
  <si>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</si>
  <si>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</si>
  <si>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</si>
  <si>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</si>
  <si>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</si>
  <si>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</si>
  <si>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</si>
  <si>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</si>
  <si>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</si>
  <si>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</si>
  <si>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</si>
  <si>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</si>
  <si>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</si>
  <si>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</si>
  <si>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</si>
  <si>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</si>
  <si>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</si>
  <si>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</si>
  <si>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</si>
  <si>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</si>
  <si>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</si>
  <si>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</si>
  <si>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</si>
  <si>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</si>
  <si>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</si>
  <si>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</si>
  <si>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</si>
  <si>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</si>
  <si>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</si>
  <si>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</si>
  <si>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</si>
  <si>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</si>
  <si>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</si>
  <si>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</si>
  <si>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</si>
  <si>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</si>
  <si>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</si>
  <si>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</si>
  <si>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</si>
  <si>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</si>
  <si>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</si>
  <si>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</si>
  <si>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</si>
  <si>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</si>
  <si>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</si>
  <si>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</si>
  <si>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</si>
  <si>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</si>
  <si>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</si>
  <si>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</si>
  <si>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</si>
  <si>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</si>
  <si>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</si>
  <si>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</si>
  <si>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</si>
  <si>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</si>
  <si>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</si>
  <si>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</si>
  <si>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</si>
  <si>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</si>
  <si>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</si>
  <si>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</si>
  <si>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</si>
  <si>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</si>
  <si>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</si>
  <si>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</si>
  <si>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</si>
  <si>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</si>
  <si>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</si>
  <si>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</si>
  <si>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</si>
  <si>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</si>
  <si>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</si>
  <si>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</si>
  <si>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</si>
  <si>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</si>
  <si>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</si>
  <si>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</si>
  <si>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</si>
  <si>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</si>
  <si>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</si>
  <si>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</si>
  <si>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</si>
  <si>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</si>
  <si>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</si>
  <si>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</si>
  <si>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</si>
  <si>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</si>
  <si>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</si>
  <si>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</si>
  <si>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</si>
  <si>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</si>
  <si>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</si>
  <si>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</si>
  <si>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</si>
  <si>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</si>
  <si>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</si>
  <si>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</si>
  <si>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</si>
  <si>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</si>
  <si>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</si>
  <si>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</si>
  <si>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</si>
  <si>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</si>
  <si>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</si>
  <si>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</si>
  <si>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</si>
  <si>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</si>
  <si>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</si>
  <si>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</si>
  <si>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</si>
  <si>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</si>
  <si>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</si>
  <si>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</si>
  <si>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</si>
  <si>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</si>
  <si>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</si>
  <si>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</si>
  <si>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</si>
  <si>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</si>
  <si>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</si>
  <si>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</si>
  <si>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</si>
  <si>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</si>
  <si>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</si>
  <si>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</si>
  <si>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</si>
  <si>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</si>
  <si>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</si>
  <si>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</si>
  <si>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</si>
  <si>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</si>
  <si>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</si>
  <si>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</si>
  <si>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</si>
  <si>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</si>
  <si>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</si>
  <si>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</si>
  <si>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</si>
  <si>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</si>
  <si>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</si>
  <si>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</si>
  <si>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</si>
  <si>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</si>
  <si>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</si>
  <si>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</si>
  <si>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</si>
  <si>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</si>
  <si>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</si>
  <si>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</si>
  <si>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</si>
  <si>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</si>
  <si>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</si>
  <si>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</si>
  <si>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</si>
  <si>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</si>
  <si>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</si>
  <si>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</si>
  <si>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</si>
  <si>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</si>
  <si>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</si>
  <si>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</si>
  <si>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</si>
  <si>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</si>
  <si>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</si>
  <si>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</si>
  <si>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</si>
  <si>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</si>
  <si>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</si>
  <si>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</si>
  <si>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</si>
  <si>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</si>
  <si>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</si>
  <si>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</si>
  <si>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</si>
  <si>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</si>
  <si>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</si>
  <si>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</si>
  <si>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</si>
  <si>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</si>
  <si>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</si>
  <si>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</si>
  <si>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</si>
  <si>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</si>
  <si>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</si>
  <si>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</si>
  <si>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</si>
  <si>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</si>
  <si>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</si>
  <si>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</si>
  <si>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</si>
  <si>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</si>
  <si>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</si>
  <si>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</si>
  <si>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</si>
  <si>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</si>
  <si>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</si>
  <si>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</si>
  <si>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</si>
  <si>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</si>
  <si>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</si>
  <si>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</si>
  <si>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</si>
  <si>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</si>
  <si>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</si>
  <si>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</si>
  <si>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</si>
  <si>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</si>
  <si>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</si>
  <si>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</si>
  <si>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</si>
  <si>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</si>
  <si>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</si>
  <si>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</si>
  <si>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</si>
  <si>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</si>
  <si>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</si>
  <si>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</si>
  <si>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</si>
  <si>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</si>
  <si>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</si>
  <si>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</si>
  <si>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</si>
  <si>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</si>
  <si>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</si>
  <si>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</si>
  <si>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</si>
  <si>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</si>
  <si>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</si>
  <si>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</si>
  <si>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</si>
  <si>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</si>
  <si>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</si>
  <si>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</si>
  <si>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</si>
  <si>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</si>
  <si>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</si>
  <si>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</si>
  <si>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</si>
  <si>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</si>
  <si>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</si>
  <si>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</si>
  <si>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</si>
  <si>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</si>
  <si>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</si>
  <si>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</si>
  <si>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</si>
  <si>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</si>
  <si>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</si>
  <si>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</si>
  <si>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</si>
  <si>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</si>
  <si>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</si>
  <si>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</si>
  <si>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</si>
  <si>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</si>
  <si>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</si>
  <si>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</si>
  <si>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</si>
  <si>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</si>
  <si>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</si>
  <si>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</si>
  <si>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</si>
  <si>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</si>
  <si>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</si>
  <si>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</si>
  <si>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</si>
  <si>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</si>
  <si>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</si>
  <si>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</si>
  <si>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</si>
  <si>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</si>
  <si>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</si>
  <si>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</si>
  <si>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</si>
  <si>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</si>
  <si>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</si>
  <si>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</si>
  <si>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</si>
  <si>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</si>
  <si>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</si>
  <si>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</si>
  <si>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</si>
  <si>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</si>
  <si>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</si>
  <si>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</si>
  <si>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</si>
  <si>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</si>
  <si>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</si>
  <si>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</si>
  <si>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</si>
  <si>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</si>
  <si>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</si>
  <si>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</si>
  <si>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</si>
  <si>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</si>
  <si>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</si>
  <si>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</si>
  <si>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</si>
  <si>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</si>
  <si>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</si>
  <si>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</si>
  <si>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</si>
  <si>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</si>
  <si>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</si>
  <si>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</si>
  <si>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</si>
  <si>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</si>
  <si>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</si>
  <si>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</si>
  <si>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</si>
  <si>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</si>
  <si>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</si>
  <si>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</si>
  <si>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</si>
  <si>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</si>
  <si>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</si>
  <si>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</si>
  <si>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</si>
  <si>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</si>
  <si>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</si>
  <si>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</si>
  <si>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</si>
  <si>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</si>
  <si>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</si>
  <si>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</si>
  <si>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</si>
  <si>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</si>
  <si>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</si>
  <si>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</si>
  <si>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</si>
  <si>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</si>
  <si>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</si>
  <si>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</si>
  <si>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</si>
  <si>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</si>
  <si>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</si>
  <si>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</si>
  <si>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</si>
  <si>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</si>
  <si>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</si>
  <si>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</si>
  <si>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</si>
  <si>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</si>
  <si>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</si>
  <si>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</si>
  <si>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</si>
  <si>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</si>
  <si>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</si>
  <si>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</si>
  <si>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</si>
  <si>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</si>
  <si>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</si>
  <si>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</si>
  <si>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</si>
  <si>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</si>
  <si>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</si>
  <si>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</si>
  <si>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</si>
  <si>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</si>
  <si>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</si>
  <si>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</si>
  <si>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</si>
  <si>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</si>
  <si>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</si>
  <si>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</si>
  <si>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</si>
  <si>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</si>
  <si>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</si>
  <si>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</si>
  <si>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</si>
  <si>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</si>
  <si>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</si>
  <si>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</si>
  <si>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</si>
  <si>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</si>
  <si>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</si>
  <si>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</si>
  <si>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</si>
  <si>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</si>
  <si>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</si>
  <si>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</si>
  <si>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</si>
  <si>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</si>
  <si>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</si>
  <si>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</si>
  <si>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</si>
  <si>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</si>
  <si>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</si>
  <si>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</si>
  <si>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</si>
  <si>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</si>
  <si>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</si>
  <si>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</si>
  <si>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</si>
  <si>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</si>
  <si>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</si>
  <si>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</si>
  <si>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</si>
  <si>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</si>
  <si>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</si>
  <si>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</si>
  <si>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</si>
  <si>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</si>
  <si>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</si>
  <si>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</si>
  <si>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</si>
  <si>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</si>
  <si>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</si>
  <si>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</si>
  <si>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</si>
  <si>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</si>
  <si>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</si>
  <si>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</si>
  <si>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</si>
  <si>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</si>
  <si>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</si>
  <si>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</si>
  <si>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</si>
  <si>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</si>
  <si>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</si>
  <si>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</si>
  <si>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</si>
  <si>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</si>
  <si>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</si>
  <si>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</si>
  <si>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</si>
  <si>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</si>
  <si>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</si>
  <si>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</si>
  <si>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</si>
  <si>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</si>
  <si>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</si>
  <si>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</si>
  <si>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</si>
  <si>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</si>
  <si>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</si>
  <si>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</si>
  <si>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</si>
  <si>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</si>
  <si>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</si>
  <si>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</si>
  <si>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</si>
  <si>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</si>
  <si>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</si>
  <si>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</si>
  <si>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</si>
  <si>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</si>
  <si>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</si>
  <si>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</si>
  <si>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</si>
  <si>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</si>
  <si>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</si>
  <si>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</si>
  <si>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</si>
  <si>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</si>
  <si>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</si>
  <si>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</si>
  <si>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</si>
  <si>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</si>
  <si>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</si>
  <si>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</si>
  <si>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</si>
  <si>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</si>
  <si>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</si>
  <si>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</si>
  <si>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</si>
  <si>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</si>
  <si>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</si>
  <si>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</si>
  <si>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</si>
  <si>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</si>
  <si>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</si>
  <si>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</si>
  <si>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</si>
  <si>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</si>
  <si>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</si>
  <si>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</si>
  <si>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</si>
  <si>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</si>
  <si>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</si>
  <si>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</si>
  <si>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</si>
  <si>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</si>
  <si>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</si>
  <si>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</si>
  <si>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</si>
  <si>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</si>
  <si>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</si>
  <si>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</si>
  <si>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</si>
  <si>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</si>
  <si>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</si>
  <si>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</si>
  <si>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</si>
  <si>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</si>
  <si>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</si>
  <si>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</si>
  <si>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</si>
  <si>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</si>
  <si>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</si>
  <si>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</si>
  <si>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</si>
  <si>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</si>
  <si>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</si>
  <si>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</si>
  <si>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</si>
  <si>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</si>
  <si>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</si>
  <si>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</si>
  <si>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</si>
  <si>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</si>
  <si>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</si>
  <si>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</si>
  <si>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</si>
  <si>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</si>
  <si>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</si>
  <si>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</si>
  <si>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</si>
  <si>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</si>
  <si>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</si>
  <si>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</si>
  <si>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</si>
  <si>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</si>
  <si>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</si>
  <si>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</si>
  <si>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</si>
  <si>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</si>
  <si>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</si>
  <si>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</si>
  <si>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</si>
  <si>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</si>
  <si>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</si>
  <si>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</si>
  <si>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</si>
  <si>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</si>
  <si>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</si>
  <si>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</si>
  <si>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</si>
  <si>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</si>
  <si>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</si>
  <si>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</si>
  <si>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</si>
  <si>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</si>
  <si>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</si>
  <si>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</si>
  <si>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</si>
  <si>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</si>
  <si>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</si>
  <si>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</si>
  <si>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</si>
  <si>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</si>
  <si>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</si>
  <si>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</si>
  <si>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</si>
  <si>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</si>
  <si>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</si>
  <si>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</si>
  <si>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</si>
  <si>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</si>
  <si>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</si>
  <si>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</si>
  <si>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</si>
  <si>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</si>
  <si>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</si>
  <si>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</si>
  <si>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</si>
  <si>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</si>
  <si>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</si>
  <si>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</si>
  <si>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</si>
  <si>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</si>
  <si>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</si>
  <si>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</si>
  <si>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</si>
  <si>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</si>
  <si>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</si>
  <si>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</si>
  <si>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</si>
  <si>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</si>
  <si>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</si>
  <si>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</si>
  <si>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</si>
  <si>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</si>
  <si>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</si>
  <si>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</si>
  <si>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</si>
  <si>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</si>
  <si>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</si>
  <si>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</si>
  <si>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</si>
  <si>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</si>
  <si>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</si>
  <si>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</si>
  <si>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</si>
  <si>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</si>
  <si>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</si>
  <si>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</si>
  <si>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</si>
  <si>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</si>
  <si>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</si>
  <si>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</si>
  <si>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</si>
  <si>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</si>
  <si>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</si>
  <si>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</si>
  <si>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</si>
  <si>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</si>
  <si>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</si>
  <si>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</si>
  <si>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</si>
  <si>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</si>
  <si>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</si>
  <si>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</si>
  <si>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</si>
  <si>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</si>
  <si>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</si>
  <si>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</si>
  <si>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</si>
  <si>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</si>
  <si>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</si>
  <si>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</si>
  <si>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</si>
  <si>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</si>
  <si>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</si>
  <si>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</si>
  <si>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</si>
  <si>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</si>
  <si>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</si>
  <si>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</si>
  <si>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</si>
  <si>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</si>
  <si>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</si>
  <si>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</si>
  <si>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</si>
  <si>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</si>
  <si>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</si>
  <si>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</si>
  <si>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</si>
  <si>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</si>
  <si>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</si>
  <si>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</si>
  <si>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</si>
  <si>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</si>
  <si>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</si>
  <si>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</si>
  <si>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</si>
  <si>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</si>
  <si>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</si>
  <si>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</si>
  <si>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</si>
  <si>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</si>
  <si>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</si>
  <si>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</si>
  <si>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</si>
  <si>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</si>
  <si>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</si>
  <si>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</si>
  <si>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</si>
  <si>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</si>
  <si>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</si>
  <si>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</si>
  <si>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</si>
  <si>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</si>
  <si>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</si>
  <si>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</si>
  <si>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</si>
  <si>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</si>
  <si>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</si>
  <si>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</si>
  <si>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</si>
  <si>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</si>
  <si>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</si>
  <si>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</si>
  <si>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</si>
  <si>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</si>
  <si>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</si>
  <si>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</si>
  <si>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</si>
  <si>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</si>
  <si>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</si>
  <si>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</si>
  <si>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</si>
  <si>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</si>
  <si>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</si>
  <si>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</si>
  <si>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</si>
  <si>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</si>
  <si>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</si>
  <si>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</si>
  <si>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</si>
  <si>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</si>
  <si>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</si>
  <si>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</si>
  <si>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</si>
  <si>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</si>
  <si>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</si>
  <si>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</si>
  <si>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</si>
  <si>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</si>
  <si>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</si>
  <si>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</si>
  <si>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</si>
  <si>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</si>
  <si>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</si>
  <si>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</si>
  <si>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</si>
  <si>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</si>
  <si>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</si>
  <si>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</si>
  <si>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</si>
  <si>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</si>
  <si>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</si>
  <si>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</si>
  <si>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</si>
  <si>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</si>
  <si>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</si>
  <si>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</si>
  <si>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</si>
  <si>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</si>
  <si>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</si>
  <si>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</si>
  <si>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</si>
  <si>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</si>
  <si>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</si>
  <si>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</si>
  <si>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</si>
  <si>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</si>
  <si>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</si>
  <si>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</si>
  <si>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</si>
  <si>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</si>
  <si>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</si>
  <si>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</si>
  <si>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</si>
  <si>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</si>
  <si>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</si>
  <si>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</si>
  <si>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</si>
  <si>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</si>
  <si>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</si>
  <si>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</si>
  <si>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</si>
  <si>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</si>
  <si>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</si>
  <si>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</si>
  <si>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</si>
  <si>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</si>
  <si>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</si>
  <si>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</si>
  <si>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</si>
  <si>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</si>
  <si>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</si>
  <si>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</si>
  <si>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</si>
  <si>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</si>
  <si>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</si>
  <si>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</si>
  <si>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</si>
  <si>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</si>
  <si>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</si>
  <si>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</si>
  <si>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</si>
  <si>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</si>
  <si>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</si>
  <si>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</si>
  <si>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</si>
  <si>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</si>
  <si>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</si>
  <si>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</si>
  <si>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</si>
  <si>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</si>
  <si>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</si>
  <si>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</si>
  <si>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</si>
  <si>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</si>
  <si>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</si>
  <si>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</si>
  <si>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</si>
  <si>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</si>
  <si>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</si>
  <si>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</si>
  <si>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</si>
  <si>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</si>
  <si>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</si>
  <si>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</si>
  <si>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</si>
  <si>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</si>
  <si>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</si>
  <si>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</si>
  <si>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</si>
  <si>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</si>
  <si>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</si>
  <si>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</si>
  <si>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</si>
  <si>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</si>
  <si>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</si>
  <si>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</si>
  <si>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</si>
  <si>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</si>
  <si>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</si>
  <si>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</si>
  <si>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</si>
  <si>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</si>
  <si>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</si>
  <si>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</si>
  <si>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</si>
  <si>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</si>
  <si>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</si>
  <si>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</si>
  <si>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</si>
  <si>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</si>
  <si>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</si>
  <si>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</si>
  <si>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</si>
  <si>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</si>
  <si>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</si>
  <si>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</si>
  <si>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</si>
  <si>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</si>
  <si>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</si>
  <si>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</si>
  <si>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</si>
  <si>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</si>
  <si>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</si>
  <si>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</si>
  <si>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</si>
  <si>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</si>
  <si>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</si>
  <si>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</si>
  <si>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</si>
  <si>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</si>
  <si>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</si>
  <si>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</si>
  <si>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</si>
  <si>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</si>
  <si>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</si>
  <si>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</si>
  <si>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</si>
  <si>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</si>
  <si>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</si>
  <si>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</si>
  <si>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</si>
  <si>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</si>
  <si>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</si>
  <si>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</si>
  <si>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</si>
  <si>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</si>
  <si>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</si>
  <si>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</si>
  <si>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</si>
  <si>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</si>
  <si>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</si>
  <si>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</si>
  <si>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</si>
  <si>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</si>
  <si>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</si>
  <si>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</si>
  <si>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</si>
  <si>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</si>
  <si>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</si>
  <si>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</si>
  <si>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</si>
  <si>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</si>
  <si>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</si>
  <si>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</si>
  <si>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</si>
  <si>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</si>
  <si>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</si>
  <si>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</si>
  <si>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</si>
  <si>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</si>
  <si>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</si>
  <si>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</si>
  <si>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</si>
  <si>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</si>
  <si>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</si>
  <si>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</si>
  <si>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</si>
  <si>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</si>
  <si>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</si>
  <si>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</si>
  <si>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</si>
  <si>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</si>
  <si>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</si>
  <si>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</si>
  <si>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</si>
  <si>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</si>
  <si>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</si>
  <si>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</si>
  <si>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</si>
  <si>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</si>
  <si>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</si>
  <si>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</si>
  <si>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</si>
  <si>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</si>
  <si>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</si>
  <si>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</si>
  <si>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</si>
  <si>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</si>
  <si>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</si>
  <si>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</si>
  <si>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</si>
  <si>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</si>
  <si>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</si>
  <si>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</si>
  <si>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</si>
  <si>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</si>
  <si>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</si>
  <si>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</si>
  <si>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</si>
  <si>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</si>
  <si>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</si>
  <si>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</si>
  <si>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</si>
  <si>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</si>
  <si>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</si>
  <si>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</si>
  <si>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</si>
  <si>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</si>
  <si>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</si>
  <si>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</si>
  <si>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</si>
  <si>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</si>
  <si>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</si>
  <si>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</si>
  <si>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</si>
  <si>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</si>
  <si>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</si>
  <si>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</si>
  <si>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</si>
  <si>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</si>
  <si>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</si>
  <si>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</si>
  <si>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</si>
  <si>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</si>
  <si>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</si>
  <si>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</si>
  <si>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</si>
  <si>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</si>
  <si>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</si>
  <si>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</si>
  <si>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</si>
  <si>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</si>
  <si>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</si>
  <si>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</si>
  <si>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</si>
  <si>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</si>
  <si>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</si>
  <si>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</si>
  <si>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</si>
  <si>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</si>
  <si>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</si>
  <si>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</si>
  <si>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</si>
  <si>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</si>
  <si>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</si>
  <si>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</si>
  <si>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</si>
  <si>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</si>
  <si>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</si>
  <si>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</si>
  <si>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</si>
  <si>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</si>
  <si>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</si>
  <si>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</si>
  <si>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</si>
  <si>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</si>
  <si>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</si>
  <si>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</si>
  <si>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</si>
  <si>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</si>
  <si>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</si>
  <si>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</si>
  <si>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</si>
  <si>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</si>
  <si>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</si>
  <si>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</si>
  <si>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</si>
  <si>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</si>
  <si>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</si>
  <si>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</si>
  <si>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</si>
  <si>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</si>
  <si>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</si>
  <si>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</si>
  <si>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</si>
  <si>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</si>
  <si>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</si>
  <si>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</si>
  <si>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</si>
  <si>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</si>
  <si>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</si>
  <si>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</si>
  <si>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</si>
  <si>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</si>
  <si>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</si>
  <si>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</si>
  <si>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</si>
  <si>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</si>
  <si>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</si>
  <si>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</si>
  <si>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</si>
  <si>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</si>
  <si>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</si>
  <si>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</si>
  <si>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</si>
  <si>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</si>
  <si>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</si>
  <si>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</si>
  <si>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</si>
  <si>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</si>
  <si>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</si>
  <si>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</si>
  <si>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</si>
  <si>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</si>
  <si>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</si>
  <si>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</si>
  <si>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</si>
  <si>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</si>
  <si>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</si>
  <si>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</si>
  <si>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</si>
  <si>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</si>
  <si>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</si>
  <si>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</si>
  <si>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</si>
  <si>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</si>
  <si>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</si>
  <si>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</si>
  <si>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</si>
  <si>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</si>
  <si>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</si>
  <si>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</si>
  <si>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</si>
  <si>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</si>
  <si>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</si>
  <si>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</si>
  <si>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</si>
  <si>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</si>
  <si>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</si>
  <si>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</si>
  <si>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</si>
  <si>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</si>
  <si>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</si>
  <si>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</si>
  <si>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</si>
  <si>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</si>
  <si>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</si>
  <si>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</si>
  <si>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</si>
  <si>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</si>
  <si>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</si>
  <si>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</si>
  <si>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</si>
  <si>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</si>
  <si>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</si>
  <si>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</si>
  <si>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</si>
  <si>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</si>
  <si>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</si>
  <si>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</si>
  <si>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</si>
  <si>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</si>
  <si>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</si>
  <si>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</si>
  <si>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</si>
  <si>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</si>
  <si>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</si>
  <si>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</si>
  <si>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</si>
  <si>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</si>
  <si>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</si>
  <si>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</si>
  <si>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</si>
  <si>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</si>
  <si>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</si>
  <si>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</si>
  <si>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</si>
  <si>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</si>
  <si>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</si>
  <si>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</si>
  <si>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</si>
  <si>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</si>
  <si>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</si>
  <si>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</si>
  <si>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</si>
  <si>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</si>
  <si>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</si>
  <si>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</si>
  <si>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</si>
  <si>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</si>
  <si>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</si>
  <si>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</si>
  <si>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</si>
  <si>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</si>
  <si>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</si>
  <si>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</si>
  <si>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</si>
  <si>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</si>
  <si>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</si>
  <si>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</si>
  <si>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</si>
  <si>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</si>
  <si>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</si>
  <si>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</si>
  <si>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</si>
  <si>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</si>
  <si>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</si>
  <si>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</si>
  <si>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</si>
  <si>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</si>
  <si>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</si>
  <si>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</si>
  <si>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</si>
  <si>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</si>
  <si>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</si>
  <si>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</si>
  <si>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</si>
  <si>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</si>
  <si>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</si>
  <si>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</si>
  <si>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</si>
  <si>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</si>
  <si>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</si>
  <si>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</si>
  <si>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</si>
  <si>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</si>
  <si>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</si>
  <si>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</si>
  <si>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</si>
  <si>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</si>
  <si>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</si>
  <si>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</si>
  <si>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</si>
  <si>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</si>
  <si>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</si>
  <si>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</si>
  <si>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</si>
  <si>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</si>
  <si>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</si>
  <si>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</si>
  <si>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</si>
  <si>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</si>
  <si>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</si>
  <si>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</si>
  <si>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</si>
  <si>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</si>
  <si>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</si>
  <si>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</si>
  <si>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</si>
  <si>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</si>
  <si>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</si>
  <si>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</si>
  <si>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</si>
  <si>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</si>
  <si>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</si>
  <si>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</si>
  <si>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</si>
  <si>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</si>
  <si>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</si>
  <si>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</si>
  <si>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</si>
  <si>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</si>
  <si>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</si>
  <si>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</si>
  <si>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</si>
  <si>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</si>
  <si>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</si>
  <si>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</si>
  <si>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</si>
  <si>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</si>
  <si>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</si>
  <si>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</si>
  <si>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</si>
  <si>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</si>
  <si>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</si>
  <si>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</si>
  <si>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</si>
  <si>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</si>
  <si>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</si>
  <si>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</si>
  <si>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</si>
  <si>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</si>
  <si>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</si>
  <si>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</si>
  <si>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</si>
  <si>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</si>
  <si>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</si>
  <si>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</si>
  <si>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</si>
  <si>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</si>
  <si>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</si>
  <si>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</si>
  <si>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</si>
  <si>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</si>
  <si>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</si>
  <si>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</si>
  <si>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</si>
  <si>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</si>
  <si>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</si>
  <si>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</si>
  <si>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</si>
  <si>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</si>
  <si>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</si>
  <si>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</si>
  <si>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</si>
  <si>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</si>
  <si>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</si>
  <si>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</si>
  <si>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</si>
  <si>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</si>
  <si>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</si>
  <si>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</si>
  <si>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</si>
  <si>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</si>
  <si>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</si>
  <si>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</si>
  <si>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</si>
  <si>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</si>
  <si>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</si>
  <si>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</si>
  <si>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</si>
  <si>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</si>
  <si>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</si>
  <si>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</si>
  <si>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</si>
  <si>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</si>
  <si>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</si>
  <si>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</si>
  <si>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</si>
  <si>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</si>
  <si>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</si>
  <si>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</si>
  <si>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</si>
  <si>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</si>
  <si>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</si>
  <si>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</si>
  <si>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</si>
  <si>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</si>
  <si>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</si>
  <si>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</si>
  <si>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</si>
  <si>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</si>
  <si>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</si>
  <si>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</si>
  <si>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</si>
  <si>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</si>
  <si>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</si>
  <si>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</si>
  <si>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</si>
  <si>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</si>
  <si>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</si>
  <si>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</si>
  <si>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</si>
  <si>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</si>
  <si>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</si>
  <si>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</si>
  <si>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</si>
  <si>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</si>
  <si>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</si>
  <si>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</si>
  <si>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</si>
  <si>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</si>
  <si>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</si>
  <si>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</si>
  <si>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</si>
  <si>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</si>
  <si>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</si>
  <si>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</si>
  <si>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</si>
  <si>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</si>
  <si>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</si>
  <si>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</si>
  <si>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</si>
  <si>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</si>
  <si>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</si>
  <si>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</si>
  <si>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</si>
  <si>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</si>
  <si>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</si>
  <si>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</si>
  <si>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</si>
  <si>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</si>
  <si>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</si>
  <si>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</si>
  <si>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</si>
  <si>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</si>
  <si>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</si>
  <si>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</si>
  <si>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</si>
  <si>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</si>
  <si>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</si>
  <si>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</si>
  <si>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</si>
  <si>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</si>
  <si>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</si>
  <si>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</si>
  <si>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</si>
  <si>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</si>
  <si>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</si>
  <si>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</si>
  <si>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</si>
  <si>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</si>
  <si>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</si>
  <si>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</si>
  <si>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</si>
  <si>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</si>
  <si>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</si>
  <si>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</si>
  <si>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</si>
  <si>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</si>
  <si>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</si>
  <si>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</si>
  <si>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</si>
  <si>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</si>
  <si>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</si>
  <si>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</si>
  <si>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</si>
  <si>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</si>
  <si>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</si>
  <si>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</si>
  <si>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</si>
  <si>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</si>
  <si>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</si>
  <si>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</si>
  <si>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</si>
  <si>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</si>
  <si>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</si>
  <si>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</si>
  <si>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</si>
  <si>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</si>
  <si>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</si>
  <si>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</si>
  <si>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</si>
  <si>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</si>
  <si>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</si>
  <si>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</si>
  <si>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</si>
  <si>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</si>
  <si>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</si>
  <si>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</si>
  <si>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</si>
  <si>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</si>
  <si>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</si>
  <si>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</si>
  <si>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</si>
  <si>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</si>
  <si>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</si>
  <si>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</si>
  <si>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</si>
  <si>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</si>
  <si>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</si>
  <si>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</si>
  <si>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</si>
  <si>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</si>
  <si>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</si>
  <si>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</si>
  <si>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</si>
  <si>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</si>
  <si>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</si>
  <si>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</si>
  <si>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</si>
  <si>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</si>
  <si>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</si>
  <si>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</si>
  <si>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</si>
  <si>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</si>
  <si>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</si>
  <si>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</si>
  <si>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</si>
  <si>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</si>
  <si>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</si>
  <si>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</si>
  <si>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</si>
  <si>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</si>
  <si>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</si>
  <si>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</si>
  <si>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</si>
  <si>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</si>
  <si>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</si>
  <si>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</si>
  <si>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</si>
  <si>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</si>
  <si>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</si>
  <si>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</si>
  <si>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</si>
  <si>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</si>
  <si>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</si>
  <si>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</si>
  <si>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</si>
  <si>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</si>
  <si>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</si>
  <si>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</si>
  <si>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</si>
  <si>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</si>
  <si>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</si>
  <si>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</si>
  <si>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</si>
  <si>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</si>
  <si>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</si>
  <si>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</si>
  <si>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</si>
  <si>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</si>
  <si>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</si>
  <si>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</si>
  <si>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</si>
  <si>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</si>
  <si>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</si>
  <si>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</si>
  <si>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</si>
  <si>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</si>
  <si>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</si>
  <si>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</si>
  <si>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</si>
  <si>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</si>
  <si>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</si>
  <si>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</si>
  <si>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</si>
  <si>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</si>
  <si>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</si>
  <si>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</si>
  <si>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</si>
  <si>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</si>
  <si>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</si>
  <si>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</si>
  <si>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</si>
  <si>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</si>
  <si>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</si>
  <si>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</si>
  <si>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</si>
  <si>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</si>
  <si>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</si>
  <si>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</si>
  <si>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</si>
  <si>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</si>
  <si>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</si>
  <si>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</si>
  <si>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</si>
  <si>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</si>
  <si>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</si>
  <si>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</si>
  <si>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</si>
  <si>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</si>
  <si>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</si>
  <si>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</si>
  <si>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</si>
  <si>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</si>
  <si>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</si>
  <si>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</si>
  <si>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</si>
  <si>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</si>
  <si>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</si>
  <si>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</si>
  <si>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</si>
  <si>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</si>
  <si>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</si>
  <si>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</si>
  <si>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</si>
  <si>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</si>
  <si>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</si>
  <si>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</si>
  <si>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</si>
  <si>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</si>
  <si>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</si>
  <si>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</si>
  <si>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</si>
  <si>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</si>
  <si>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</si>
  <si>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</si>
  <si>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</si>
  <si>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</si>
  <si>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</si>
  <si>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</si>
  <si>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</si>
  <si>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</si>
  <si>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</si>
  <si>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</si>
  <si>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</si>
  <si>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</si>
  <si>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</si>
  <si>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</si>
  <si>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</si>
  <si>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</si>
  <si>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</si>
  <si>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</si>
  <si>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</si>
  <si>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</si>
  <si>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</si>
  <si>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</si>
  <si>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</si>
  <si>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</si>
  <si>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</si>
  <si>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</si>
  <si>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</si>
  <si>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</si>
  <si>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</si>
  <si>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</si>
  <si>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</si>
  <si>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</si>
  <si>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</si>
  <si>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</si>
  <si>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</si>
  <si>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</si>
  <si>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</si>
  <si>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</si>
  <si>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</si>
  <si>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</si>
  <si>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</si>
  <si>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</si>
  <si>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</si>
  <si>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</si>
  <si>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</si>
  <si>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</si>
  <si>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</si>
  <si>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</si>
  <si>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</si>
  <si>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</si>
  <si>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</si>
  <si>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</si>
  <si>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</si>
  <si>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</si>
  <si>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</si>
  <si>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</si>
  <si>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</si>
  <si>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</si>
  <si>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</si>
  <si>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</si>
  <si>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</si>
  <si>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</si>
  <si>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</si>
  <si>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</si>
  <si>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</si>
  <si>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</si>
  <si>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</si>
  <si>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</si>
  <si>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</si>
  <si>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</si>
  <si>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</si>
  <si>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</si>
  <si>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</si>
  <si>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</si>
  <si>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</si>
  <si>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</si>
  <si>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</si>
  <si>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</si>
  <si>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</si>
  <si>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</si>
  <si>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</si>
  <si>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</si>
  <si>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</si>
  <si>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</si>
  <si>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</si>
  <si>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</si>
  <si>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</si>
  <si>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</si>
  <si>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</si>
  <si>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</si>
  <si>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</si>
  <si>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</si>
  <si>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</si>
  <si>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</si>
  <si>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</si>
  <si>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</si>
  <si>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</si>
  <si>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</si>
  <si>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</si>
  <si>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</si>
  <si>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</si>
  <si>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</si>
  <si>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</si>
  <si>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</si>
  <si>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</si>
  <si>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</si>
  <si>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</si>
  <si>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</si>
  <si>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</si>
  <si>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</si>
  <si>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</si>
  <si>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</si>
  <si>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</si>
  <si>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</si>
  <si>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</si>
  <si>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</si>
  <si>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</si>
  <si>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</si>
  <si>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</si>
  <si>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</si>
  <si>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</si>
  <si>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</si>
  <si>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</si>
  <si>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</si>
  <si>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</si>
  <si>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</si>
  <si>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</si>
  <si>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</si>
  <si>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</si>
  <si>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</si>
  <si>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</si>
  <si>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</si>
  <si>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</si>
  <si>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</si>
  <si>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</si>
  <si>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</si>
  <si>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</si>
  <si>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</si>
  <si>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</si>
  <si>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</si>
  <si>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</si>
  <si>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</si>
  <si>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</si>
  <si>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</si>
  <si>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</si>
  <si>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</si>
  <si>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</si>
  <si>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</si>
  <si>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</si>
  <si>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</si>
  <si>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</si>
  <si>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</si>
  <si>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</si>
  <si>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</si>
  <si>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</si>
  <si>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</si>
  <si>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</si>
  <si>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</si>
  <si>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</si>
  <si>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</si>
  <si>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</si>
  <si>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</si>
  <si>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</si>
  <si>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</si>
  <si>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</si>
  <si>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</si>
  <si>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</si>
  <si>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</si>
  <si>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</si>
  <si>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</si>
  <si>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</si>
  <si>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</si>
  <si>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</si>
  <si>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</si>
  <si>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</si>
  <si>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</si>
  <si>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</si>
  <si>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</si>
  <si>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</si>
  <si>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</si>
  <si>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</si>
  <si>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</si>
  <si>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</si>
  <si>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</si>
  <si>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</si>
  <si>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</si>
  <si>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</si>
  <si>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</si>
  <si>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</si>
  <si>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</si>
  <si>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</si>
  <si>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</si>
  <si>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</si>
  <si>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</si>
  <si>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</si>
  <si>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</si>
  <si>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</si>
  <si>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</si>
  <si>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</si>
  <si>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</si>
  <si>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</si>
  <si>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</si>
  <si>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</si>
  <si>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</si>
  <si>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</si>
  <si>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</si>
  <si>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</si>
  <si>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</si>
  <si>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</si>
  <si>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</si>
  <si>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</si>
  <si>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</si>
  <si>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</si>
  <si>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</si>
  <si>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</si>
  <si>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</si>
  <si>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</si>
  <si>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</si>
  <si>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</si>
  <si>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</si>
  <si>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</si>
  <si>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</si>
  <si>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</si>
  <si>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</si>
  <si>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</si>
  <si>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</si>
  <si>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</si>
  <si>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</si>
  <si>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</si>
  <si>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</si>
  <si>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</si>
  <si>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</si>
  <si>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</si>
  <si>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</si>
  <si>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</si>
  <si>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</si>
  <si>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</si>
  <si>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</si>
  <si>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</si>
  <si>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</si>
  <si>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</si>
  <si>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</si>
  <si>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</si>
  <si>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</si>
  <si>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</si>
  <si>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</si>
  <si>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</si>
  <si>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</si>
  <si>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</si>
  <si>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</si>
  <si>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</si>
  <si>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</si>
  <si>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</si>
  <si>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</si>
  <si>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</si>
  <si>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</si>
  <si>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</si>
  <si>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</si>
  <si>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</si>
  <si>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</si>
  <si>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</si>
  <si>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</si>
  <si>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</si>
  <si>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</si>
  <si>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</si>
  <si>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</si>
  <si>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</si>
  <si>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</si>
  <si>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</si>
  <si>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</si>
  <si>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</si>
  <si>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</si>
  <si>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</si>
  <si>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</si>
  <si>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</si>
  <si>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</si>
  <si>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</si>
  <si>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</si>
  <si>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</si>
  <si>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</si>
  <si>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</si>
  <si>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</si>
  <si>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</si>
  <si>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</si>
  <si>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</si>
  <si>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</si>
  <si>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</si>
  <si>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</si>
  <si>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</si>
  <si>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</si>
  <si>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</si>
  <si>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</si>
  <si>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</si>
  <si>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</si>
  <si>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</si>
  <si>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</si>
  <si>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</si>
  <si>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</si>
  <si>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</si>
  <si>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</si>
  <si>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</si>
  <si>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</si>
  <si>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</si>
  <si>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</si>
  <si>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</si>
  <si>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</si>
  <si>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</si>
  <si>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</si>
  <si>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</si>
  <si>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</si>
  <si>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</si>
  <si>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</si>
  <si>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</si>
  <si>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</si>
  <si>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</si>
  <si>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</si>
  <si>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</si>
  <si>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</si>
  <si>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</si>
  <si>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</si>
  <si>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</si>
  <si>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</si>
  <si>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</si>
  <si>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</si>
  <si>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</si>
  <si>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</si>
  <si>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</si>
  <si>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</si>
  <si>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</si>
  <si>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</si>
  <si>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</si>
  <si>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</si>
  <si>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</si>
  <si>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</si>
  <si>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</si>
  <si>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</si>
  <si>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</si>
  <si>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</si>
  <si>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</si>
  <si>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</si>
  <si>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</si>
  <si>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</si>
  <si>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</si>
  <si>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</si>
  <si>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</si>
  <si>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</si>
  <si>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</si>
  <si>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</si>
  <si>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</si>
  <si>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</si>
  <si>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</si>
  <si>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</si>
  <si>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</si>
  <si>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</si>
  <si>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</si>
  <si>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</si>
  <si>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</si>
  <si>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</si>
  <si>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</si>
  <si>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</si>
  <si>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</si>
  <si>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</si>
  <si>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</si>
  <si>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</si>
  <si>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</si>
  <si>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</si>
  <si>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</si>
  <si>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</si>
  <si>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</si>
  <si>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</si>
  <si>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</si>
  <si>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</si>
  <si>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</si>
  <si>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</si>
  <si>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</si>
  <si>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</si>
  <si>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</si>
  <si>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</si>
  <si>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</si>
  <si>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</si>
  <si>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</si>
  <si>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</si>
  <si>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</si>
  <si>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</si>
  <si>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</si>
  <si>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</si>
  <si>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</si>
  <si>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</si>
  <si>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</si>
  <si>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</si>
  <si>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</si>
  <si>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</si>
  <si>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</si>
  <si>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</si>
  <si>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</si>
  <si>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</si>
  <si>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</si>
  <si>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</si>
  <si>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</si>
  <si>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</si>
  <si>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</si>
  <si>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</si>
  <si>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</si>
  <si>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</si>
  <si>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</si>
  <si>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</si>
  <si>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</si>
  <si>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</si>
  <si>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</si>
  <si>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</si>
  <si>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</si>
  <si>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</si>
  <si>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</si>
  <si>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</si>
  <si>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</si>
  <si>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</si>
  <si>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</si>
  <si>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</si>
  <si>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</si>
  <si>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</si>
  <si>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</si>
  <si>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</si>
  <si>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</si>
  <si>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</si>
  <si>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</si>
  <si>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</si>
  <si>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</si>
  <si>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</si>
  <si>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</si>
  <si>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</si>
  <si>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</si>
  <si>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</si>
  <si>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</si>
  <si>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</si>
  <si>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</si>
  <si>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</si>
  <si>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</si>
  <si>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</si>
  <si>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</si>
  <si>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</si>
  <si>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</si>
  <si>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</si>
  <si>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</si>
  <si>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</si>
  <si>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</si>
  <si>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</si>
  <si>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</si>
  <si>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</si>
  <si>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</si>
  <si>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</si>
  <si>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</si>
  <si>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</si>
  <si>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</si>
  <si>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</si>
  <si>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</si>
  <si>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</si>
  <si>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</si>
  <si>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</si>
  <si>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</si>
  <si>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</si>
  <si>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</si>
  <si>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</si>
  <si>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</si>
  <si>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</si>
  <si>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</si>
  <si>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</si>
  <si>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</si>
  <si>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</si>
  <si>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</si>
  <si>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</si>
  <si>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</si>
  <si>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</si>
  <si>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</si>
  <si>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</si>
  <si>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</si>
  <si>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</si>
  <si>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</si>
  <si>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</si>
  <si>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</si>
  <si>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</si>
  <si>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</si>
  <si>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</si>
  <si>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</si>
  <si>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</si>
  <si>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</si>
  <si>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</si>
  <si>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</si>
  <si>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</si>
  <si>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</si>
  <si>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</si>
  <si>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</si>
  <si>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</si>
  <si>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</si>
  <si>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</si>
  <si>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</si>
  <si>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</si>
  <si>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</si>
  <si>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</si>
  <si>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</si>
  <si>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</si>
  <si>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</si>
  <si>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</si>
  <si>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</si>
  <si>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</si>
  <si>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</si>
  <si>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</si>
  <si>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</si>
  <si>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</si>
  <si>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</si>
  <si>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</si>
  <si>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</si>
  <si>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</si>
  <si>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</si>
  <si>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</si>
  <si>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</si>
  <si>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</si>
  <si>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</si>
  <si>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</si>
  <si>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</si>
  <si>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</si>
  <si>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</si>
  <si>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</si>
  <si>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</si>
  <si>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</si>
  <si>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</si>
  <si>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</si>
  <si>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</si>
  <si>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</si>
  <si>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</si>
  <si>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</si>
  <si>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</si>
  <si>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</si>
  <si>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</si>
  <si>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</si>
  <si>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</si>
  <si>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</si>
  <si>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</si>
  <si>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</si>
  <si>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</si>
  <si>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</si>
  <si>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</si>
  <si>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</si>
  <si>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</si>
  <si>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</si>
  <si>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</si>
  <si>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</si>
  <si>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</si>
  <si>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</si>
  <si>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</si>
  <si>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</si>
  <si>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</si>
  <si>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</si>
  <si>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</si>
  <si>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</si>
  <si>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</si>
  <si>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</si>
  <si>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</si>
  <si>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</si>
  <si>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</si>
  <si>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</si>
  <si>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</si>
  <si>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</si>
  <si>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</si>
  <si>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</si>
  <si>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</si>
  <si>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</si>
  <si>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</si>
  <si>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</si>
  <si>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</si>
  <si>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</si>
  <si>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</si>
  <si>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</si>
  <si>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</si>
  <si>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</si>
  <si>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</si>
  <si>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</si>
  <si>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</si>
  <si>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</si>
  <si>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</si>
  <si>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</si>
  <si>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</si>
  <si>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</si>
  <si>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</si>
  <si>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</si>
  <si>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</si>
  <si>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</si>
  <si>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</si>
  <si>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</si>
  <si>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</si>
  <si>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</si>
  <si>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</si>
  <si>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</si>
  <si>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</si>
  <si>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</si>
  <si>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</si>
  <si>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</si>
  <si>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</si>
  <si>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</si>
  <si>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</si>
  <si>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</si>
  <si>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</si>
  <si>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</si>
  <si>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</si>
  <si>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</si>
  <si>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</si>
  <si>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</si>
  <si>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</si>
  <si>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</si>
  <si>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</si>
  <si>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</si>
  <si>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</si>
  <si>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</si>
  <si>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</si>
  <si>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</si>
  <si>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</si>
  <si>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</si>
  <si>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</si>
  <si>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</si>
  <si>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</si>
  <si>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</si>
  <si>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</si>
  <si>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</si>
  <si>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</si>
  <si>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</si>
  <si>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</si>
  <si>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</si>
  <si>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</si>
  <si>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</si>
  <si>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</si>
  <si>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</si>
  <si>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</si>
  <si>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</si>
  <si>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</si>
  <si>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</si>
  <si>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</si>
  <si>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</si>
  <si>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</si>
  <si>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</si>
  <si>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</si>
  <si>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</si>
  <si>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</si>
  <si>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</si>
  <si>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</si>
  <si>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</si>
  <si>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</si>
  <si>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</si>
  <si>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</si>
  <si>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</si>
  <si>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</si>
  <si>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</si>
  <si>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</si>
  <si>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</si>
  <si>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</si>
  <si>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</si>
  <si>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</si>
  <si>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</si>
  <si>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</si>
  <si>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</si>
  <si>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</si>
  <si>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</si>
  <si>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</si>
  <si>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</si>
  <si>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</si>
  <si>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</si>
  <si>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</si>
  <si>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</si>
  <si>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</si>
  <si>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</si>
  <si>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</si>
  <si>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</si>
  <si>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</si>
  <si>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</si>
  <si>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</si>
  <si>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</si>
  <si>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</si>
  <si>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</si>
  <si>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</si>
  <si>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</si>
  <si>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</si>
  <si>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</si>
  <si>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</si>
  <si>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</si>
  <si>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</si>
  <si>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</si>
  <si>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</si>
  <si>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</si>
  <si>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</si>
  <si>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</si>
  <si>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</si>
  <si>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</si>
  <si>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</si>
  <si>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</si>
  <si>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</si>
  <si>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</si>
  <si>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</si>
  <si>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</si>
  <si>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</si>
  <si>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</si>
  <si>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</si>
  <si>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</si>
  <si>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</si>
  <si>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</si>
  <si>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</si>
  <si>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</si>
  <si>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</si>
  <si>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</si>
  <si>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</si>
  <si>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</si>
  <si>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</si>
  <si>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</si>
  <si>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</si>
  <si>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</si>
  <si>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</si>
  <si>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</si>
  <si>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</si>
  <si>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</si>
  <si>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</si>
  <si>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</si>
  <si>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</si>
  <si>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</si>
  <si>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</si>
  <si>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</si>
  <si>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</si>
  <si>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</si>
  <si>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</si>
  <si>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</si>
  <si>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</si>
  <si>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</si>
  <si>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</si>
  <si>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</si>
  <si>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</si>
  <si>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</si>
  <si>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</si>
  <si>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</si>
  <si>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</si>
  <si>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</si>
  <si>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</si>
  <si>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</si>
  <si>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</si>
  <si>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</si>
  <si>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</si>
  <si>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</si>
  <si>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</si>
  <si>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</si>
  <si>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</si>
  <si>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</si>
  <si>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</si>
  <si>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</si>
  <si>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</si>
  <si>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</si>
  <si>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</si>
  <si>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</si>
  <si>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</si>
  <si>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</si>
  <si>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</si>
  <si>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</si>
  <si>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</si>
  <si>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</si>
  <si>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</si>
  <si>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</si>
  <si>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</si>
  <si>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</si>
  <si>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</si>
  <si>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</si>
  <si>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</si>
  <si>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</si>
  <si>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</si>
  <si>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</si>
  <si>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</si>
  <si>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</si>
  <si>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</si>
  <si>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</si>
  <si>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</si>
  <si>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</si>
  <si>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</si>
  <si>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</si>
  <si>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</si>
  <si>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</si>
  <si>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</si>
  <si>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</si>
  <si>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</si>
  <si>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</si>
  <si>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</si>
  <si>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</si>
  <si>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</si>
  <si>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</si>
  <si>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</si>
  <si>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</si>
  <si>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</si>
  <si>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</si>
  <si>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</si>
  <si>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</si>
  <si>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</si>
  <si>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</si>
  <si>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</si>
  <si>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</si>
  <si>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</si>
  <si>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</si>
  <si>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</si>
  <si>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</si>
  <si>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</si>
  <si>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</si>
  <si>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</si>
  <si>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</si>
  <si>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</si>
  <si>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</si>
  <si>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</si>
  <si>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</si>
  <si>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</si>
  <si>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</si>
  <si>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</si>
  <si>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</si>
  <si>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</si>
  <si>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</si>
  <si>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</si>
  <si>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</si>
  <si>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</si>
  <si>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</si>
  <si>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</si>
  <si>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</si>
  <si>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</si>
  <si>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</si>
  <si>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</si>
  <si>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</si>
  <si>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</si>
  <si>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</si>
  <si>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</si>
  <si>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</si>
  <si>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</si>
  <si>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</si>
  <si>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</si>
  <si>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</si>
  <si>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</si>
  <si>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</si>
  <si>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</si>
  <si>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</si>
  <si>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</si>
  <si>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</si>
  <si>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</si>
  <si>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</si>
  <si>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</si>
  <si>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</si>
  <si>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</si>
  <si>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</si>
  <si>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</si>
  <si>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</si>
  <si>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</si>
  <si>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</si>
  <si>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</si>
  <si>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</si>
  <si>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</si>
  <si>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</si>
  <si>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</si>
  <si>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</si>
  <si>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</si>
  <si>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</si>
  <si>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</si>
  <si>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</si>
  <si>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</si>
  <si>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</si>
  <si>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</si>
  <si>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</si>
  <si>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</si>
  <si>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</si>
  <si>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</si>
  <si>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</si>
  <si>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</si>
  <si>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</si>
  <si>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</si>
  <si>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</si>
  <si>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</si>
  <si>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</si>
  <si>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</si>
  <si>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</si>
  <si>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</si>
  <si>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</si>
  <si>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</si>
  <si>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</si>
  <si>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</si>
  <si>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</si>
  <si>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</si>
  <si>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</si>
  <si>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</si>
  <si>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</si>
  <si>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</si>
  <si>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</si>
  <si>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</si>
  <si>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</si>
  <si>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</si>
  <si>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</si>
  <si>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</si>
  <si>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</si>
  <si>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</si>
  <si>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</si>
  <si>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</si>
  <si>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</si>
  <si>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</si>
  <si>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</si>
  <si>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</si>
  <si>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</si>
  <si>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</si>
  <si>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</si>
  <si>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</si>
  <si>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</si>
  <si>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</si>
  <si>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</si>
  <si>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</si>
  <si>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</si>
  <si>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</si>
  <si>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</si>
  <si>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</si>
  <si>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</si>
  <si>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</si>
  <si>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</si>
  <si>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</si>
  <si>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</si>
  <si>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</si>
  <si>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</si>
  <si>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</si>
  <si>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</si>
  <si>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</si>
  <si>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</si>
  <si>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</si>
  <si>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</si>
  <si>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</si>
  <si>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</si>
  <si>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</si>
  <si>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</si>
  <si>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</si>
  <si>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</si>
  <si>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</si>
  <si>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</si>
  <si>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</si>
  <si>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</si>
  <si>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</si>
  <si>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</si>
  <si>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</si>
  <si>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</si>
  <si>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</si>
  <si>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</si>
  <si>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</si>
  <si>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</si>
  <si>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</si>
  <si>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</si>
  <si>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</si>
  <si>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</si>
  <si>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</si>
  <si>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</si>
  <si>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</si>
  <si>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</si>
  <si>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</si>
  <si>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</si>
  <si>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</si>
  <si>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</si>
  <si>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</si>
  <si>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</si>
  <si>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</si>
  <si>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</si>
  <si>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</si>
  <si>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</si>
  <si>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</si>
  <si>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</si>
  <si>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</si>
  <si>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</si>
  <si>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</si>
  <si>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</si>
  <si>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</si>
  <si>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</si>
  <si>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</si>
  <si>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</si>
  <si>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</si>
  <si>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</si>
  <si>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</si>
  <si>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</si>
  <si>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</si>
  <si>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</si>
  <si>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</si>
  <si>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</si>
  <si>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</si>
  <si>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</si>
  <si>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</si>
  <si>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</si>
  <si>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</si>
  <si>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</si>
  <si>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</si>
  <si>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</si>
  <si>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</si>
  <si>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</si>
  <si>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</si>
  <si>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</si>
  <si>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</si>
  <si>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</si>
  <si>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</si>
  <si>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</si>
  <si>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</si>
  <si>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</si>
  <si>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</si>
  <si>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</si>
  <si>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</si>
  <si>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</si>
  <si>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</si>
  <si>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</si>
  <si>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</si>
  <si>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</si>
  <si>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</si>
  <si>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</si>
  <si>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</si>
  <si>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</si>
  <si>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</si>
  <si>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</si>
  <si>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</si>
  <si>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</si>
  <si>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</si>
  <si>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</si>
  <si>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</si>
  <si>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</si>
  <si>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</si>
  <si>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</si>
  <si>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</si>
  <si>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</si>
  <si>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</si>
  <si>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</si>
  <si>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</si>
  <si>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</si>
  <si>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</si>
  <si>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</si>
  <si>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</si>
  <si>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</si>
  <si>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</si>
  <si>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</si>
  <si>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</si>
  <si>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</si>
  <si>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</si>
  <si>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</si>
  <si>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</si>
  <si>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</si>
  <si>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</si>
  <si>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</si>
  <si>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</si>
  <si>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</si>
  <si>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</si>
  <si>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</si>
  <si>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</si>
  <si>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</si>
  <si>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</si>
  <si>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</si>
  <si>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</si>
  <si>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</si>
  <si>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</si>
  <si>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</si>
  <si>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</si>
  <si>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</si>
  <si>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</si>
  <si>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</si>
  <si>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</si>
  <si>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</si>
  <si>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</si>
  <si>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</si>
  <si>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</si>
  <si>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</si>
  <si>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</si>
  <si>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</si>
  <si>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</si>
  <si>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</si>
  <si>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</si>
  <si>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</si>
  <si>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</si>
  <si>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</si>
  <si>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</si>
  <si>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</si>
  <si>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</si>
  <si>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</si>
  <si>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</si>
  <si>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</si>
  <si>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</si>
  <si>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</si>
  <si>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</si>
  <si>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</si>
  <si>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</si>
  <si>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</si>
  <si>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</si>
  <si>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</si>
  <si>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</si>
  <si>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</si>
  <si>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</si>
  <si>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</si>
  <si>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</si>
  <si>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</si>
  <si>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</si>
  <si>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</si>
  <si>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</si>
  <si>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</si>
  <si>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</si>
  <si>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</si>
  <si>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</si>
  <si>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</si>
  <si>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</si>
  <si>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</si>
  <si>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</si>
  <si>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</si>
  <si>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</si>
  <si>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</si>
  <si>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</si>
  <si>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</si>
  <si>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</si>
  <si>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</si>
  <si>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</si>
  <si>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</si>
  <si>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</si>
  <si>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</si>
  <si>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</si>
  <si>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</si>
  <si>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</si>
  <si>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</si>
  <si>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</si>
  <si>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</si>
  <si>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</si>
  <si>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</si>
  <si>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</si>
  <si>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</si>
  <si>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</si>
  <si>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</si>
  <si>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</si>
  <si>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</si>
  <si>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</si>
  <si>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</si>
  <si>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</si>
  <si>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</si>
  <si>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</si>
  <si>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</si>
  <si>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</si>
  <si>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</si>
  <si>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</si>
  <si>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</si>
  <si>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</si>
  <si>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</si>
  <si>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</si>
  <si>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</si>
  <si>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</si>
  <si>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</si>
  <si>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</si>
  <si>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</si>
  <si>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</si>
  <si>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</si>
  <si>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</si>
  <si>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</si>
  <si>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</si>
  <si>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</si>
  <si>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</si>
  <si>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</si>
  <si>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</si>
  <si>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</si>
  <si>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</si>
  <si>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</si>
  <si>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</si>
  <si>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</si>
  <si>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</si>
  <si>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</si>
  <si>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</si>
  <si>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</si>
  <si>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</si>
  <si>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</si>
  <si>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</si>
  <si>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</si>
  <si>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</si>
  <si>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</si>
  <si>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</si>
  <si>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</si>
  <si>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</si>
  <si>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</si>
  <si>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</si>
  <si>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</si>
  <si>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</si>
  <si>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</si>
  <si>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</si>
  <si>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</si>
  <si>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</si>
  <si>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</si>
  <si>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</si>
  <si>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</si>
  <si>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</si>
  <si>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</si>
  <si>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</si>
  <si>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</si>
  <si>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</si>
  <si>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</si>
  <si>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</si>
  <si>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</si>
  <si>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</si>
  <si>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</si>
  <si>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</si>
  <si>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</si>
  <si>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</si>
  <si>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</si>
  <si>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</si>
  <si>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</si>
  <si>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</si>
  <si>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</si>
  <si>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</si>
  <si>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</si>
  <si>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</si>
  <si>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</si>
  <si>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</si>
  <si>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</si>
  <si>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</si>
  <si>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</si>
  <si>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</si>
  <si>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</si>
  <si>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</si>
  <si>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</si>
  <si>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</si>
  <si>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</si>
  <si>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</si>
  <si>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</si>
  <si>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</si>
  <si>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</si>
  <si>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</si>
  <si>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</si>
  <si>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</si>
  <si>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</si>
  <si>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</si>
  <si>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</si>
  <si>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</si>
  <si>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</si>
  <si>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</si>
  <si>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</si>
  <si>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</si>
  <si>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</si>
  <si>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</si>
  <si>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</si>
  <si>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</si>
  <si>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</si>
  <si>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</si>
  <si>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</si>
  <si>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</si>
  <si>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</si>
  <si>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</si>
  <si>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</si>
  <si>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</si>
  <si>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</si>
  <si>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</si>
  <si>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</si>
  <si>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</si>
  <si>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</si>
  <si>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</si>
  <si>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</si>
  <si>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</si>
  <si>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</si>
  <si>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</si>
  <si>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</si>
  <si>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</si>
  <si>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</si>
  <si>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</si>
  <si>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</si>
  <si>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</si>
  <si>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</si>
  <si>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</si>
  <si>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</si>
  <si>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</si>
  <si>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</si>
  <si>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</si>
  <si>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</si>
  <si>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</si>
  <si>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</si>
  <si>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</si>
  <si>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</si>
  <si>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</si>
  <si>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</si>
  <si>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</si>
  <si>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</si>
  <si>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</si>
  <si>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</si>
  <si>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</si>
  <si>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</si>
  <si>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</si>
  <si>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</si>
  <si>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</si>
  <si>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</si>
  <si>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</si>
  <si>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</si>
  <si>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</si>
  <si>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</si>
  <si>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</si>
  <si>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</si>
  <si>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</si>
  <si>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</si>
  <si>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</si>
  <si>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</si>
  <si>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</si>
  <si>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</si>
  <si>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</si>
  <si>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</si>
  <si>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</si>
  <si>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</si>
  <si>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</si>
  <si>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</si>
  <si>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</si>
  <si>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</si>
  <si>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</si>
  <si>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</si>
  <si>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</si>
  <si>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</si>
  <si>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</si>
  <si>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</si>
  <si>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</si>
  <si>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</si>
  <si>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</si>
  <si>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</si>
  <si>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</si>
  <si>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</si>
  <si>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</si>
  <si>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</si>
  <si>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</si>
  <si>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</si>
  <si>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</si>
  <si>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</si>
  <si>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</si>
  <si>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</si>
  <si>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</si>
  <si>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</si>
  <si>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</si>
  <si>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</si>
  <si>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</si>
  <si>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</si>
  <si>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</si>
  <si>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</si>
  <si>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</si>
  <si>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</si>
  <si>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</si>
  <si>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</si>
  <si>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</si>
  <si>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</si>
  <si>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</si>
  <si>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</si>
  <si>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</si>
  <si>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</si>
  <si>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</si>
  <si>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</si>
  <si>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</si>
  <si>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</si>
  <si>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</si>
  <si>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</si>
  <si>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</si>
  <si>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</si>
  <si>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</si>
  <si>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</si>
  <si>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</si>
  <si>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</si>
  <si>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</si>
  <si>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</si>
  <si>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</si>
  <si>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</si>
  <si>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</si>
  <si>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</si>
  <si>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</si>
  <si>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</si>
  <si>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</si>
  <si>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</si>
  <si>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</si>
  <si>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</si>
  <si>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</si>
  <si>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</si>
  <si>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</si>
  <si>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</si>
  <si>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</si>
  <si>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</si>
  <si>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</si>
  <si>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</si>
  <si>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</si>
  <si>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</si>
  <si>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</si>
  <si>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</si>
  <si>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</si>
  <si>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</si>
  <si>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</si>
  <si>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</si>
  <si>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</si>
  <si>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</si>
  <si>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</si>
  <si>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</si>
  <si>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</si>
  <si>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</si>
  <si>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</si>
  <si>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</si>
  <si>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</si>
  <si>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</si>
  <si>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</si>
  <si>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</si>
  <si>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</si>
  <si>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</si>
  <si>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</si>
  <si>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</si>
  <si>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</si>
  <si>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</si>
  <si>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</si>
  <si>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</si>
  <si>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</si>
  <si>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</si>
  <si>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</si>
  <si>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</si>
  <si>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</si>
  <si>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</si>
  <si>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</si>
  <si>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</si>
  <si>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</si>
  <si>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</si>
  <si>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</si>
  <si>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</si>
  <si>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</si>
  <si>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</si>
  <si>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</si>
  <si>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</si>
  <si>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</si>
  <si>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</si>
  <si>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</si>
  <si>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</si>
  <si>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</si>
  <si>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</si>
  <si>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</si>
  <si>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</si>
  <si>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</si>
  <si>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</si>
  <si>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</si>
  <si>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</si>
  <si>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</si>
  <si>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</si>
  <si>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</si>
  <si>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</si>
  <si>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</si>
  <si>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</si>
  <si>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</si>
  <si>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</si>
  <si>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</si>
  <si>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</si>
  <si>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</si>
  <si>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</si>
  <si>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</si>
  <si>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</si>
  <si>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</si>
  <si>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</si>
  <si>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</si>
  <si>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</si>
  <si>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</si>
  <si>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</si>
  <si>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</si>
  <si>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</si>
  <si>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</si>
  <si>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</si>
  <si>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</si>
  <si>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</si>
  <si>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</si>
  <si>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</si>
  <si>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</si>
  <si>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</si>
  <si>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</si>
  <si>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</si>
  <si>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</si>
  <si>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</si>
  <si>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</si>
  <si>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</si>
  <si>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</si>
  <si>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</si>
  <si>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</si>
  <si>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</si>
  <si>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</si>
  <si>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</si>
  <si>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</si>
  <si>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</si>
  <si>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</si>
  <si>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</si>
  <si>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</si>
  <si>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</si>
  <si>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</si>
  <si>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</si>
  <si>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</si>
  <si>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</si>
  <si>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</si>
  <si>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</si>
  <si>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</si>
  <si>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</si>
  <si>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</si>
  <si>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</si>
  <si>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</si>
  <si>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</si>
  <si>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</si>
  <si>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</si>
  <si>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</si>
  <si>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</si>
  <si>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</si>
  <si>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</si>
  <si>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</si>
  <si>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</si>
  <si>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</si>
  <si>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</si>
  <si>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</si>
  <si>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</si>
  <si>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</si>
  <si>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</si>
  <si>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</si>
  <si>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</si>
  <si>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</si>
  <si>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</si>
  <si>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</si>
  <si>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</si>
  <si>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</si>
  <si>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</si>
  <si>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</si>
  <si>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</si>
  <si>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</si>
  <si>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</si>
  <si>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</si>
  <si>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</si>
  <si>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</si>
  <si>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</si>
  <si>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</si>
  <si>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</si>
  <si>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</si>
  <si>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</si>
  <si>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</si>
  <si>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</si>
  <si>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</si>
  <si>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</si>
  <si>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</si>
  <si>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</si>
  <si>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</si>
  <si>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</si>
  <si>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</si>
  <si>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</si>
  <si>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</si>
  <si>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</si>
  <si>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</si>
  <si>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</si>
  <si>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</si>
  <si>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</si>
  <si>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</si>
  <si>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</si>
  <si>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</si>
  <si>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</si>
  <si>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</si>
  <si>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</si>
  <si>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</si>
  <si>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</si>
  <si>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</si>
  <si>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</si>
  <si>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</si>
  <si>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</si>
  <si>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</si>
  <si>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</si>
  <si>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</si>
  <si>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</si>
  <si>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</si>
  <si>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</si>
  <si>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</si>
  <si>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</si>
  <si>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</si>
  <si>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</si>
  <si>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</si>
  <si>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</si>
  <si>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</si>
  <si>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</si>
  <si>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</si>
  <si>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</si>
  <si>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</si>
  <si>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</si>
  <si>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</si>
  <si>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</si>
  <si>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</si>
  <si>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</si>
  <si>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</si>
  <si>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</si>
  <si>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</si>
  <si>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</si>
  <si>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</si>
  <si>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</si>
  <si>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</si>
  <si>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</si>
  <si>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</si>
  <si>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</si>
  <si>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</si>
  <si>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</si>
  <si>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</si>
  <si>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</si>
  <si>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</si>
  <si>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</si>
  <si>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</si>
  <si>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</si>
  <si>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</si>
  <si>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</si>
  <si>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</si>
  <si>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</si>
  <si>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</si>
  <si>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</si>
  <si>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</si>
  <si>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</si>
  <si>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</si>
  <si>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</si>
  <si>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</si>
  <si>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</si>
  <si>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</si>
  <si>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</si>
  <si>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</si>
  <si>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</si>
  <si>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</si>
  <si>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</si>
  <si>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</si>
  <si>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</si>
  <si>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</si>
  <si>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</si>
  <si>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</si>
  <si>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</si>
  <si>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</si>
  <si>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</si>
  <si>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</si>
  <si>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</si>
  <si>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</si>
  <si>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</si>
  <si>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</si>
  <si>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</si>
  <si>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</si>
  <si>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</si>
  <si>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</si>
  <si>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</si>
  <si>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</si>
  <si>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</si>
  <si>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</si>
  <si>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</si>
  <si>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</si>
  <si>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</si>
  <si>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</si>
  <si>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</si>
  <si>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</si>
  <si>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</si>
  <si>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</si>
  <si>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</si>
  <si>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</si>
  <si>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</si>
  <si>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</si>
  <si>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</si>
  <si>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</si>
  <si>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</si>
  <si>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</si>
  <si>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</si>
  <si>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</si>
  <si>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</si>
  <si>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</si>
  <si>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</si>
  <si>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</si>
  <si>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</si>
  <si>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</si>
  <si>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</si>
  <si>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</si>
  <si>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</si>
  <si>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</si>
  <si>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</si>
  <si>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</si>
  <si>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</si>
  <si>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</si>
  <si>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</si>
  <si>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</si>
  <si>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</si>
  <si>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</si>
  <si>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</si>
  <si>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</si>
  <si>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</si>
  <si>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</si>
  <si>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</si>
  <si>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</si>
  <si>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</si>
  <si>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</si>
  <si>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</si>
  <si>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</si>
  <si>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</si>
  <si>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</si>
  <si>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</si>
  <si>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</si>
  <si>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</si>
  <si>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</si>
  <si>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</si>
  <si>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</si>
  <si>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</si>
  <si>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</si>
  <si>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</si>
  <si>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</si>
  <si>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</si>
  <si>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</si>
  <si>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</si>
  <si>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</si>
  <si>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</si>
  <si>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</si>
  <si>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</si>
  <si>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</si>
  <si>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</si>
  <si>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</si>
  <si>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</si>
  <si>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</si>
  <si>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</si>
  <si>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</si>
  <si>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</si>
  <si>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</si>
  <si>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</si>
  <si>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</si>
  <si>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</si>
  <si>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</si>
  <si>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</si>
  <si>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</si>
  <si>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</si>
  <si>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</si>
  <si>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</si>
  <si>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</si>
  <si>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</si>
  <si>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</si>
  <si>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</si>
  <si>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</si>
  <si>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</si>
  <si>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</si>
  <si>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</si>
  <si>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</si>
  <si>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</si>
  <si>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</si>
  <si>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</si>
  <si>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</si>
  <si>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</si>
  <si>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</si>
  <si>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</si>
  <si>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</si>
  <si>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</si>
  <si>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</si>
  <si>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</si>
  <si>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</si>
  <si>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</si>
  <si>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</si>
  <si>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</si>
  <si>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</si>
  <si>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</si>
  <si>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</si>
  <si>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</si>
  <si>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</si>
  <si>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</si>
  <si>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</si>
  <si>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</si>
  <si>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</si>
  <si>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</si>
  <si>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</si>
  <si>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</si>
  <si>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</si>
  <si>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</si>
  <si>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</si>
  <si>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</si>
  <si>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</si>
  <si>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</si>
  <si>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</si>
  <si>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</si>
  <si>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</si>
  <si>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</si>
  <si>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</si>
  <si>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</si>
  <si>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</si>
  <si>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</si>
  <si>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</si>
  <si>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</si>
  <si>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</si>
  <si>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</si>
  <si>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</si>
  <si>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</si>
  <si>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</si>
  <si>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</si>
  <si>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</si>
  <si>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</si>
  <si>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</si>
  <si>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</si>
  <si>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</si>
  <si>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</si>
  <si>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</si>
  <si>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</si>
  <si>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</si>
  <si>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</si>
  <si>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</si>
  <si>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</si>
  <si>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</si>
  <si>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</si>
  <si>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</si>
  <si>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</si>
  <si>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</si>
  <si>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</si>
  <si>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</si>
  <si>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</si>
  <si>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</si>
  <si>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</si>
  <si>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</si>
  <si>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</si>
  <si>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</si>
  <si>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</si>
  <si>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</si>
  <si>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</si>
  <si>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</si>
  <si>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</si>
  <si>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</si>
  <si>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</si>
  <si>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</si>
  <si>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</si>
  <si>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</si>
  <si>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</si>
  <si>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</si>
  <si>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</si>
  <si>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</si>
  <si>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</si>
  <si>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</si>
  <si>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</si>
  <si>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</si>
  <si>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</si>
  <si>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</si>
  <si>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</si>
  <si>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</si>
  <si>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</si>
  <si>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</si>
  <si>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</si>
  <si>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</si>
  <si>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</si>
  <si>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</si>
  <si>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</si>
  <si>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</si>
  <si>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</si>
  <si>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</si>
  <si>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</si>
  <si>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</si>
  <si>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</si>
  <si>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</si>
  <si>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</si>
  <si>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</si>
  <si>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</si>
  <si>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</si>
  <si>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</si>
  <si>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</si>
  <si>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</si>
  <si>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</si>
  <si>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</si>
  <si>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</si>
  <si>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</si>
  <si>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</si>
  <si>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</si>
  <si>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</si>
  <si>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</si>
  <si>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</si>
  <si>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</si>
  <si>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</si>
  <si>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</si>
  <si>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</si>
  <si>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</si>
  <si>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</si>
  <si>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</si>
  <si>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</si>
  <si>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</si>
  <si>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</si>
  <si>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</si>
  <si>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</si>
  <si>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</si>
  <si>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</si>
  <si>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</si>
  <si>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</si>
  <si>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</si>
  <si>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</si>
  <si>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</si>
  <si>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</si>
  <si>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</si>
  <si>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</si>
  <si>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</si>
  <si>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</si>
  <si>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</si>
  <si>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</si>
  <si>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</si>
  <si>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</si>
  <si>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</si>
  <si>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</si>
  <si>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</si>
  <si>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</si>
  <si>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</si>
  <si>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</si>
  <si>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</si>
  <si>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</si>
  <si>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</si>
  <si>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</si>
  <si>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</si>
  <si>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</si>
  <si>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</si>
  <si>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</si>
  <si>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</si>
  <si>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</si>
  <si>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</si>
  <si>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</si>
  <si>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</si>
  <si>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</si>
  <si>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</si>
  <si>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</si>
  <si>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</si>
  <si>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</si>
  <si>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</si>
  <si>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</si>
  <si>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</si>
  <si>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</si>
  <si>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</si>
  <si>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</si>
  <si>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</si>
  <si>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</si>
  <si>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</si>
  <si>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</si>
  <si>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</si>
  <si>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</si>
  <si>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</si>
  <si>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</si>
  <si>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</si>
  <si>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</si>
  <si>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</si>
  <si>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</si>
  <si>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</si>
  <si>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</si>
  <si>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</si>
  <si>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</si>
  <si>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</si>
  <si>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</si>
  <si>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</si>
  <si>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</si>
  <si>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</si>
  <si>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</si>
  <si>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</si>
  <si>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</si>
  <si>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</si>
  <si>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</si>
  <si>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</si>
  <si>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</si>
  <si>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</si>
  <si>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</si>
  <si>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</si>
  <si>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</si>
  <si>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</si>
  <si>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</si>
  <si>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</si>
  <si>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</si>
  <si>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</si>
  <si>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</si>
  <si>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</si>
  <si>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</si>
  <si>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</si>
  <si>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</si>
  <si>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</si>
  <si>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</si>
  <si>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</si>
  <si>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</si>
  <si>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</si>
  <si>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</si>
  <si>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</si>
  <si>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</si>
  <si>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</si>
  <si>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</si>
  <si>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</si>
  <si>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</si>
  <si>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</si>
  <si>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</si>
  <si>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</si>
  <si>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</si>
  <si>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</si>
  <si>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</si>
  <si>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</si>
  <si>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</si>
  <si>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</si>
  <si>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</si>
  <si>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</si>
  <si>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</si>
  <si>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</si>
  <si>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</si>
  <si>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</si>
  <si>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</si>
  <si>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</si>
  <si>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</si>
  <si>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</si>
  <si>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</si>
  <si>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</si>
  <si>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</si>
  <si>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</si>
  <si>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</si>
  <si>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</si>
  <si>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</si>
  <si>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</si>
  <si>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</si>
  <si>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</si>
  <si>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</si>
  <si>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</si>
  <si>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</si>
  <si>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</si>
  <si>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</si>
  <si>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</si>
  <si>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</si>
  <si>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</si>
  <si>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</si>
  <si>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</si>
  <si>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</si>
  <si>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</si>
  <si>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</si>
  <si>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</si>
  <si>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</si>
  <si>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</si>
  <si>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</si>
  <si>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</si>
  <si>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</si>
  <si>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</si>
  <si>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</si>
  <si>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</si>
  <si>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</si>
  <si>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</si>
  <si>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</si>
  <si>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</si>
  <si>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</si>
  <si>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</si>
  <si>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</si>
  <si>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</si>
  <si>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</si>
  <si>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</si>
  <si>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</si>
  <si>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</si>
  <si>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</si>
  <si>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</si>
  <si>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</si>
  <si>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</si>
  <si>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</si>
  <si>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</si>
  <si>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</si>
  <si>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</si>
  <si>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</si>
  <si>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</si>
  <si>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</si>
  <si>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</si>
  <si>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</si>
  <si>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</si>
  <si>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</si>
  <si>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</si>
  <si>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</si>
  <si>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</si>
  <si>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</si>
  <si>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</si>
  <si>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</si>
  <si>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</si>
  <si>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</si>
  <si>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</si>
  <si>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</si>
  <si>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</si>
  <si>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</si>
  <si>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</si>
  <si>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</si>
  <si>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</si>
  <si>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</si>
  <si>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</si>
  <si>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</si>
  <si>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</si>
  <si>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</si>
  <si>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</si>
  <si>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</si>
  <si>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</si>
  <si>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</si>
  <si>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</si>
  <si>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</si>
  <si>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</si>
  <si>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</si>
  <si>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</si>
  <si>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</si>
  <si>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</si>
  <si>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</si>
  <si>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</si>
  <si>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</si>
  <si>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</si>
  <si>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</si>
  <si>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</si>
  <si>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</si>
  <si>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</si>
  <si>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</si>
  <si>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</si>
  <si>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</si>
  <si>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</si>
  <si>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</si>
  <si>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</si>
  <si>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</si>
  <si>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</si>
  <si>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</si>
  <si>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</si>
  <si>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</si>
  <si>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</si>
  <si>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</si>
  <si>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</si>
  <si>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</si>
  <si>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</si>
  <si>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</si>
  <si>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</si>
  <si>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</si>
  <si>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</si>
  <si>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</si>
  <si>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</si>
  <si>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</si>
  <si>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</si>
  <si>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</si>
  <si>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</si>
  <si>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</si>
  <si>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</si>
  <si>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</si>
  <si>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</si>
  <si>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</si>
  <si>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</si>
  <si>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</si>
  <si>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</si>
  <si>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</si>
  <si>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</si>
  <si>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</si>
  <si>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</si>
  <si>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</si>
  <si>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</si>
  <si>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</si>
  <si>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</si>
  <si>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</si>
  <si>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</si>
  <si>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</si>
  <si>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</si>
  <si>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</si>
  <si>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</si>
  <si>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</si>
  <si>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</si>
  <si>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</si>
  <si>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</si>
  <si>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</si>
  <si>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</si>
  <si>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</si>
  <si>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</si>
  <si>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</si>
  <si>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</si>
  <si>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</si>
  <si>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</si>
  <si>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</si>
  <si>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</si>
  <si>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</si>
  <si>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</si>
  <si>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</si>
  <si>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</si>
  <si>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</si>
  <si>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</si>
  <si>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</si>
  <si>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</si>
  <si>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</si>
  <si>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</si>
  <si>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</si>
  <si>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</si>
  <si>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</si>
  <si>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</si>
  <si>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</si>
  <si>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</si>
  <si>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</si>
  <si>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</si>
  <si>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</si>
  <si>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</si>
  <si>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</si>
  <si>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</si>
  <si>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</si>
  <si>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</si>
  <si>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</si>
  <si>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</si>
  <si>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</si>
  <si>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</si>
  <si>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</si>
  <si>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</si>
  <si>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</si>
  <si>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</si>
  <si>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</si>
  <si>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</si>
  <si>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</si>
  <si>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</si>
  <si>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</si>
  <si>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</si>
  <si>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</si>
  <si>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</si>
  <si>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</si>
  <si>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</si>
  <si>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</si>
  <si>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</si>
  <si>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</si>
  <si>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</si>
  <si>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</si>
  <si>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</si>
  <si>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</si>
  <si>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</si>
  <si>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</si>
  <si>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</si>
  <si>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</si>
  <si>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</si>
  <si>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</si>
  <si>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</si>
  <si>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</si>
  <si>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</si>
  <si>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</si>
  <si>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</si>
  <si>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</si>
  <si>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</si>
  <si>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</si>
  <si>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</si>
  <si>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</si>
  <si>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</si>
  <si>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</si>
  <si>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</si>
  <si>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</si>
  <si>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</si>
  <si>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</si>
  <si>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</si>
  <si>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</si>
  <si>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</si>
  <si>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</si>
  <si>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</si>
  <si>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</si>
  <si>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</si>
  <si>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</si>
  <si>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</si>
  <si>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</si>
  <si>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</si>
  <si>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</si>
  <si>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</si>
  <si>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</si>
  <si>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</si>
  <si>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</si>
  <si>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</si>
  <si>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</si>
  <si>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</si>
  <si>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</si>
  <si>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</si>
  <si>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</si>
  <si>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</si>
  <si>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</si>
  <si>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</si>
  <si>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</si>
  <si>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</si>
  <si>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</si>
  <si>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</si>
  <si>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</si>
  <si>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</si>
  <si>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</si>
  <si>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</si>
  <si>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</si>
  <si>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</si>
  <si>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</si>
  <si>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</si>
  <si>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</si>
  <si>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</si>
  <si>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</si>
  <si>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</si>
  <si>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</si>
  <si>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</si>
  <si>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</si>
  <si>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</si>
  <si>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</si>
  <si>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</si>
  <si>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</si>
  <si>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</si>
  <si>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</si>
  <si>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</si>
  <si>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</si>
  <si>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</si>
  <si>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</si>
  <si>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</si>
  <si>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</si>
  <si>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</si>
  <si>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</si>
  <si>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</si>
  <si>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</si>
  <si>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</si>
  <si>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</si>
  <si>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</si>
  <si>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</si>
  <si>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</si>
  <si>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</si>
  <si>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</si>
  <si>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</si>
  <si>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</si>
  <si>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</si>
  <si>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</si>
  <si>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</si>
  <si>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</si>
  <si>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</si>
  <si>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</si>
  <si>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</si>
  <si>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</si>
  <si>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</si>
  <si>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</si>
  <si>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</si>
  <si>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</si>
  <si>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</si>
  <si>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</si>
  <si>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</si>
  <si>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</si>
  <si>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</si>
  <si>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</si>
  <si>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</si>
  <si>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</si>
  <si>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</si>
  <si>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</si>
  <si>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</si>
  <si>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</si>
  <si>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</si>
  <si>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</si>
  <si>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</si>
  <si>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</si>
  <si>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</si>
  <si>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</si>
  <si>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</si>
  <si>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</si>
  <si>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</si>
  <si>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</si>
  <si>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</si>
  <si>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</si>
  <si>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</si>
  <si>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</si>
  <si>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</si>
  <si>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</si>
  <si>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</si>
  <si>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</si>
  <si>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</si>
  <si>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</si>
  <si>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</si>
  <si>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</si>
  <si>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</si>
  <si>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</si>
  <si>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</si>
  <si>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</si>
  <si>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</si>
  <si>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</si>
  <si>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</si>
  <si>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</si>
  <si>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</si>
  <si>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</si>
  <si>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</si>
  <si>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</si>
  <si>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</si>
  <si>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</si>
  <si>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</si>
  <si>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</si>
  <si>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</si>
  <si>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</si>
  <si>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</si>
  <si>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</si>
  <si>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</si>
  <si>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</si>
  <si>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</si>
  <si>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</si>
  <si>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</si>
  <si>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</si>
  <si>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</si>
  <si>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</si>
  <si>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</si>
  <si>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</si>
  <si>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</si>
  <si>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</si>
  <si>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</si>
  <si>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</si>
  <si>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</si>
  <si>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</si>
  <si>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</si>
  <si>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</si>
  <si>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</si>
  <si>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</si>
  <si>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</si>
  <si>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</si>
  <si>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</si>
  <si>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</si>
  <si>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</si>
  <si>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</si>
  <si>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</si>
  <si>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</si>
  <si>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</si>
  <si>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</si>
  <si>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</si>
  <si>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</si>
  <si>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</si>
  <si>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</si>
  <si>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</si>
  <si>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</si>
  <si>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</si>
  <si>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</si>
  <si>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</si>
  <si>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</si>
  <si>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</si>
  <si>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</si>
  <si>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</si>
  <si>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</si>
  <si>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</si>
  <si>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</si>
  <si>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</si>
  <si>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</si>
  <si>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</si>
  <si>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</si>
  <si>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</si>
  <si>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</si>
  <si>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</si>
  <si>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</si>
  <si>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</si>
  <si>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</si>
  <si>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</si>
  <si>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</si>
  <si>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</si>
  <si>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</si>
  <si>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</si>
  <si>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</si>
  <si>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</si>
  <si>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</si>
  <si>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</si>
  <si>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</si>
  <si>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</si>
  <si>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</si>
  <si>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</si>
  <si>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</si>
  <si>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</si>
  <si>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</si>
  <si>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</si>
  <si>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</si>
  <si>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</si>
  <si>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</si>
  <si>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</si>
  <si>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</si>
  <si>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</si>
  <si>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</si>
  <si>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</si>
  <si>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</si>
  <si>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</si>
  <si>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</si>
  <si>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</si>
  <si>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</si>
  <si>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</si>
  <si>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</si>
  <si>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</si>
  <si>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</si>
  <si>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</si>
  <si>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</si>
  <si>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</si>
  <si>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</si>
  <si>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</si>
  <si>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</si>
  <si>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</si>
  <si>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</si>
  <si>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</si>
  <si>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</si>
  <si>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</si>
  <si>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</si>
  <si>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</si>
  <si>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</si>
  <si>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</si>
  <si>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</si>
  <si>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</si>
  <si>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</si>
  <si>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</si>
  <si>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</si>
  <si>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</si>
  <si>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</si>
  <si>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</si>
  <si>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</si>
  <si>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</si>
  <si>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</si>
  <si>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</si>
  <si>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</si>
  <si>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</si>
  <si>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</si>
  <si>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</si>
  <si>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</si>
  <si>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</si>
  <si>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</si>
  <si>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</si>
  <si>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</si>
  <si>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</si>
  <si>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</si>
  <si>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</si>
  <si>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</si>
  <si>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</si>
  <si>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</si>
  <si>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</si>
  <si>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</si>
  <si>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</si>
  <si>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</si>
  <si>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</si>
  <si>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</si>
  <si>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</si>
  <si>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</si>
  <si>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</si>
  <si>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</si>
  <si>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</si>
  <si>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</si>
  <si>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</si>
  <si>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</si>
  <si>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</si>
  <si>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</si>
  <si>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</si>
  <si>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</si>
  <si>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</si>
  <si>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</si>
  <si>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</si>
  <si>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</si>
  <si>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</si>
  <si>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</si>
  <si>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</si>
  <si>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</si>
  <si>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</si>
  <si>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</si>
  <si>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</si>
  <si>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</si>
  <si>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</si>
  <si>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</si>
  <si>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</si>
  <si>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</si>
  <si>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</si>
  <si>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</si>
  <si>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</si>
  <si>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</si>
  <si>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</si>
  <si>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</si>
  <si>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</si>
  <si>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</si>
  <si>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</si>
  <si>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</si>
  <si>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</si>
  <si>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</si>
  <si>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</si>
  <si>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</si>
  <si>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</si>
  <si>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</si>
  <si>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</si>
  <si>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</si>
  <si>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</si>
  <si>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</si>
  <si>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</si>
  <si>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</si>
  <si>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</si>
  <si>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</si>
  <si>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</si>
  <si>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</si>
  <si>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</si>
  <si>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</si>
  <si>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</si>
  <si>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</si>
  <si>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</si>
  <si>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</si>
  <si>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</si>
  <si>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</si>
  <si>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</si>
  <si>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</si>
  <si>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</si>
  <si>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</si>
  <si>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</si>
  <si>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</si>
  <si>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</si>
  <si>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</si>
  <si>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</si>
  <si>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</si>
  <si>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</si>
  <si>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</si>
  <si>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</si>
  <si>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</si>
  <si>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</si>
  <si>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</si>
  <si>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</si>
  <si>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</si>
  <si>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</si>
  <si>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</si>
  <si>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</si>
  <si>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</si>
  <si>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</si>
  <si>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</si>
  <si>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</si>
  <si>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</si>
  <si>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</si>
  <si>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</si>
  <si>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</si>
  <si>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</si>
  <si>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</si>
  <si>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</si>
  <si>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</si>
  <si>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</si>
  <si>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</si>
  <si>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</si>
  <si>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</si>
  <si>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</si>
  <si>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</si>
  <si>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</si>
  <si>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</si>
  <si>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</si>
  <si>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</si>
  <si>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</si>
  <si>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</si>
  <si>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</si>
  <si>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</si>
  <si>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</si>
  <si>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</si>
  <si>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</si>
  <si>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</si>
  <si>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</si>
  <si>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</si>
  <si>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</si>
  <si>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</si>
  <si>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</si>
  <si>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</si>
  <si>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</si>
  <si>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</si>
  <si>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</si>
  <si>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</si>
  <si>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</si>
  <si>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</si>
  <si>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</si>
  <si>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</si>
  <si>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</si>
  <si>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</si>
  <si>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</si>
  <si>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</si>
  <si>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</si>
  <si>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</si>
  <si>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</si>
  <si>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</si>
  <si>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</si>
  <si>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</si>
  <si>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</si>
  <si>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</si>
  <si>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</si>
  <si>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</si>
  <si>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</si>
  <si>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</si>
  <si>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</si>
  <si>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</si>
  <si>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</si>
  <si>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</si>
  <si>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</si>
  <si>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</si>
  <si>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</si>
  <si>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</si>
  <si>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</si>
  <si>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</si>
  <si>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</si>
  <si>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</si>
  <si>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</si>
  <si>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</si>
  <si>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</si>
  <si>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</si>
  <si>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</si>
  <si>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</si>
  <si>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</si>
  <si>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</si>
  <si>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</si>
  <si>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</si>
  <si>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</si>
  <si>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</si>
  <si>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</si>
  <si>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</si>
  <si>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</si>
  <si>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</si>
  <si>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</si>
  <si>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</si>
  <si>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</si>
  <si>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</si>
  <si>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</si>
  <si>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</si>
  <si>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</si>
  <si>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</si>
  <si>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</si>
  <si>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</si>
  <si>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</si>
  <si>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</si>
  <si>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</si>
  <si>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</si>
  <si>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</si>
  <si>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</si>
  <si>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</si>
  <si>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</si>
  <si>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</si>
  <si>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</si>
  <si>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</si>
  <si>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</si>
  <si>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</si>
  <si>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</si>
  <si>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</si>
  <si>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</si>
  <si>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</si>
  <si>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</si>
  <si>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</si>
  <si>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</si>
  <si>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</si>
  <si>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</si>
  <si>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</si>
  <si>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</si>
  <si>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</si>
  <si>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</si>
  <si>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</si>
  <si>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</si>
  <si>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</si>
  <si>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</si>
  <si>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</si>
  <si>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</si>
  <si>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</si>
  <si>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</si>
  <si>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</si>
  <si>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</si>
  <si>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</si>
  <si>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</si>
  <si>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</si>
  <si>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</si>
  <si>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</si>
  <si>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</si>
  <si>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</si>
  <si>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</si>
  <si>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</si>
  <si>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</si>
  <si>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</si>
  <si>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</si>
  <si>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</si>
  <si>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</si>
  <si>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</si>
  <si>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</si>
  <si>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</si>
  <si>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</si>
  <si>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</si>
  <si>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</si>
  <si>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</si>
  <si>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</si>
  <si>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</si>
  <si>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</si>
  <si>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</si>
  <si>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</si>
  <si>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</si>
  <si>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</si>
  <si>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</si>
  <si>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</si>
  <si>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</si>
  <si>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</si>
  <si>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</si>
  <si>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</si>
  <si>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</si>
  <si>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</si>
  <si>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</si>
  <si>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</si>
  <si>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</si>
  <si>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</si>
  <si>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</si>
  <si>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</si>
  <si>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</si>
  <si>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</si>
  <si>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</si>
  <si>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</si>
  <si>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</si>
  <si>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</si>
  <si>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</si>
  <si>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</si>
  <si>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</si>
  <si>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</si>
  <si>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</si>
  <si>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</si>
  <si>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</si>
  <si>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</si>
  <si>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</si>
  <si>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</si>
  <si>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</si>
  <si>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</si>
  <si>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</si>
  <si>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</si>
  <si>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</si>
  <si>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</si>
  <si>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</si>
  <si>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</si>
  <si>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</si>
  <si>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</si>
  <si>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</si>
  <si>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</si>
  <si>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</si>
  <si>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</si>
  <si>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</si>
  <si>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</si>
  <si>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</si>
  <si>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</si>
  <si>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</si>
  <si>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</si>
  <si>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</si>
  <si>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</si>
  <si>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</si>
  <si>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</si>
  <si>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</si>
  <si>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</si>
  <si>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</si>
  <si>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</si>
  <si>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</si>
  <si>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</si>
  <si>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</si>
  <si>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</si>
  <si>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</si>
  <si>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</si>
  <si>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</si>
  <si>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</si>
  <si>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</si>
  <si>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</si>
  <si>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</si>
  <si>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</si>
  <si>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</si>
  <si>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</si>
  <si>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</si>
  <si>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</si>
  <si>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</si>
  <si>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</si>
  <si>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</si>
  <si>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</si>
  <si>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</si>
  <si>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</si>
  <si>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</si>
  <si>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</si>
  <si>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</si>
  <si>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</si>
  <si>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</si>
  <si>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</si>
  <si>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</si>
  <si>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</si>
  <si>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</si>
  <si>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</si>
  <si>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</si>
  <si>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</si>
  <si>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</si>
  <si>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</si>
  <si>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</si>
  <si>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</si>
  <si>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</si>
  <si>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</si>
  <si>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</si>
  <si>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</si>
  <si>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</si>
  <si>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</si>
  <si>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</si>
  <si>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</si>
  <si>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</si>
  <si>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</si>
  <si>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</si>
  <si>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</si>
  <si>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</si>
  <si>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</si>
  <si>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</si>
  <si>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</si>
  <si>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</si>
  <si>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</si>
  <si>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</si>
  <si>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</si>
  <si>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</si>
  <si>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</si>
  <si>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</si>
  <si>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</si>
  <si>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</si>
  <si>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</si>
  <si>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</si>
  <si>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</si>
  <si>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</si>
  <si>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</si>
  <si>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</si>
  <si>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</si>
  <si>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</si>
  <si>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</si>
  <si>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</si>
  <si>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</si>
  <si>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</si>
  <si>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</si>
  <si>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</si>
  <si>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</si>
  <si>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</si>
  <si>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</si>
  <si>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</si>
  <si>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</si>
  <si>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</si>
  <si>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</si>
  <si>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</si>
  <si>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</si>
  <si>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</si>
  <si>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</si>
  <si>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</si>
  <si>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</si>
  <si>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</si>
  <si>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</si>
  <si>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</si>
  <si>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</si>
  <si>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</si>
  <si>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</si>
  <si>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</si>
  <si>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</si>
  <si>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</si>
  <si>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</si>
  <si>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</si>
  <si>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</si>
  <si>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</si>
  <si>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</si>
  <si>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</si>
  <si>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</si>
  <si>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</si>
  <si>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</si>
  <si>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</si>
  <si>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</si>
  <si>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</si>
  <si>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</si>
  <si>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</si>
  <si>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</si>
  <si>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</si>
  <si>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</si>
  <si>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</si>
  <si>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</si>
  <si>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</si>
  <si>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</si>
  <si>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</si>
  <si>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</si>
  <si>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</si>
  <si>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</si>
  <si>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</si>
  <si>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</si>
  <si>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</si>
  <si>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</si>
  <si>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</si>
  <si>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</si>
  <si>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</si>
  <si>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</si>
  <si>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</si>
  <si>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</si>
  <si>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</si>
  <si>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</si>
  <si>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</si>
  <si>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</si>
  <si>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</si>
  <si>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</si>
  <si>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</si>
  <si>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</si>
  <si>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</si>
  <si>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</si>
  <si>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</si>
  <si>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</si>
  <si>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</si>
  <si>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</si>
  <si>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</si>
  <si>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</si>
  <si>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</si>
  <si>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</si>
  <si>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</si>
  <si>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</si>
  <si>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</si>
  <si>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</si>
  <si>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</si>
  <si>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</si>
  <si>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</si>
  <si>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</si>
  <si>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</si>
  <si>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</si>
  <si>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</si>
  <si>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</si>
  <si>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</si>
  <si>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</si>
  <si>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</si>
  <si>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</si>
  <si>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</si>
  <si>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</si>
  <si>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</si>
  <si>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</si>
  <si>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</si>
  <si>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</si>
  <si>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</si>
  <si>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</si>
  <si>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</si>
  <si>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</si>
  <si>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</si>
  <si>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</si>
  <si>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</si>
  <si>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</si>
  <si>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</si>
  <si>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</si>
  <si>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</si>
  <si>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</si>
  <si>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</si>
  <si>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</si>
  <si>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</si>
  <si>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</si>
  <si>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</si>
  <si>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</si>
  <si>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</si>
  <si>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</si>
  <si>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</si>
  <si>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</si>
  <si>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</si>
  <si>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</si>
  <si>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</si>
  <si>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</si>
  <si>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</si>
  <si>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</si>
  <si>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</si>
  <si>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</si>
  <si>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</si>
  <si>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</si>
  <si>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</si>
  <si>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</si>
  <si>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</si>
  <si>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</si>
  <si>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</si>
  <si>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</si>
  <si>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</si>
  <si>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</si>
  <si>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</si>
  <si>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</si>
  <si>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</si>
  <si>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</si>
  <si>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</si>
  <si>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</si>
  <si>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</si>
  <si>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</si>
  <si>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</si>
  <si>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</si>
  <si>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</si>
  <si>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</si>
  <si>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</si>
  <si>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</si>
  <si>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</si>
  <si>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</si>
  <si>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</si>
  <si>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</si>
  <si>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</si>
  <si>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</si>
  <si>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</si>
  <si>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</si>
  <si>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</si>
  <si>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</si>
  <si>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</si>
  <si>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</si>
  <si>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</si>
  <si>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</si>
  <si>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</si>
  <si>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</si>
  <si>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</si>
  <si>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</si>
  <si>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</si>
  <si>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</si>
  <si>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</si>
  <si>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</si>
  <si>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</si>
  <si>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</si>
  <si>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</si>
  <si>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</si>
  <si>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</si>
  <si>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</si>
  <si>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</si>
  <si>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</si>
  <si>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</si>
  <si>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</si>
  <si>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</si>
  <si>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</si>
  <si>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</si>
  <si>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</si>
  <si>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</si>
  <si>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</si>
  <si>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</si>
  <si>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</si>
  <si>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</si>
  <si>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</si>
  <si>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</si>
  <si>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</si>
  <si>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</si>
  <si>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</si>
  <si>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</si>
  <si>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</si>
  <si>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</si>
  <si>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</si>
  <si>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</si>
  <si>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</si>
  <si>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</si>
  <si>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</si>
  <si>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</si>
  <si>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</si>
  <si>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</si>
  <si>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</si>
  <si>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</si>
  <si>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</si>
  <si>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</si>
  <si>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</si>
  <si>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</si>
  <si>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</si>
  <si>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</si>
  <si>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</si>
  <si>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</si>
  <si>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</si>
  <si>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</si>
  <si>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</si>
  <si>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</si>
  <si>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</si>
  <si>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</si>
  <si>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</si>
  <si>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</si>
  <si>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</si>
  <si>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</si>
  <si>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</si>
  <si>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</si>
  <si>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</si>
  <si>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</si>
  <si>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</si>
  <si>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</si>
  <si>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</si>
  <si>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</si>
  <si>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</si>
  <si>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</si>
  <si>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</si>
  <si>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</si>
  <si>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</si>
  <si>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</si>
  <si>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</si>
  <si>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</si>
  <si>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</si>
  <si>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</si>
  <si>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</si>
  <si>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</si>
  <si>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</si>
  <si>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</si>
  <si>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</si>
  <si>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</si>
  <si>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</si>
  <si>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</si>
  <si>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</si>
  <si>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</si>
  <si>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</si>
  <si>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</si>
  <si>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</si>
  <si>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</si>
  <si>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</si>
  <si>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</si>
  <si>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</si>
  <si>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</si>
  <si>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</si>
  <si>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</si>
  <si>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</si>
  <si>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</si>
  <si>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</si>
  <si>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</si>
  <si>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</si>
  <si>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</si>
  <si>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</si>
  <si>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</si>
  <si>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</si>
  <si>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</si>
  <si>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</si>
  <si>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</si>
  <si>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</si>
  <si>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</si>
  <si>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</si>
  <si>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</si>
  <si>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</si>
  <si>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</si>
  <si>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</si>
  <si>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</si>
  <si>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</si>
  <si>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</si>
  <si>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</si>
  <si>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</si>
  <si>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</si>
  <si>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</si>
  <si>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</si>
  <si>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</si>
  <si>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</si>
  <si>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</si>
  <si>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</si>
  <si>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</si>
  <si>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</si>
  <si>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</si>
  <si>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</si>
  <si>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</si>
  <si>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</si>
  <si>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</si>
  <si>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</si>
  <si>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</si>
  <si>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</si>
  <si>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</si>
  <si>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</si>
  <si>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</si>
  <si>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</si>
  <si>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</si>
  <si>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</si>
  <si>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</si>
  <si>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</si>
  <si>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</si>
  <si>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</si>
  <si>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</si>
  <si>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</si>
  <si>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</si>
  <si>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</si>
  <si>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</si>
  <si>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</si>
  <si>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</si>
  <si>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</si>
  <si>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</si>
  <si>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</si>
  <si>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</si>
  <si>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</si>
  <si>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</si>
  <si>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</si>
  <si>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</si>
  <si>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</si>
  <si>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</si>
  <si>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</si>
  <si>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</si>
  <si>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</si>
  <si>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</si>
  <si>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</si>
  <si>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</si>
  <si>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</si>
  <si>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</si>
  <si>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</si>
  <si>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</si>
  <si>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</si>
  <si>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</si>
  <si>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</si>
  <si>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</si>
  <si>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</si>
  <si>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</si>
  <si>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</si>
  <si>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</si>
  <si>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</si>
  <si>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</si>
  <si>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</si>
  <si>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</si>
  <si>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</si>
  <si>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</si>
  <si>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</si>
  <si>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</si>
  <si>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</si>
  <si>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</si>
  <si>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</si>
  <si>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</si>
  <si>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</si>
  <si>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</si>
  <si>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</si>
  <si>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</si>
  <si>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</si>
  <si>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</si>
  <si>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</si>
  <si>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</si>
  <si>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</si>
  <si>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</si>
  <si>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</si>
  <si>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</si>
  <si>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</si>
  <si>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</si>
  <si>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</si>
  <si>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</si>
  <si>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</si>
  <si>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</si>
  <si>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</si>
  <si>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</si>
  <si>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</si>
  <si>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</si>
  <si>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</si>
  <si>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</si>
  <si>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</si>
  <si>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</si>
  <si>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</si>
  <si>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</si>
  <si>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</si>
  <si>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</si>
  <si>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</si>
  <si>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</si>
  <si>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</si>
  <si>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</si>
  <si>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</si>
  <si>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</si>
  <si>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</si>
  <si>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</si>
  <si>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</si>
  <si>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</si>
  <si>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</si>
  <si>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</si>
  <si>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</si>
  <si>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</si>
  <si>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</si>
  <si>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</si>
  <si>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</si>
  <si>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</si>
  <si>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</si>
  <si>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</si>
  <si>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</si>
  <si>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</si>
  <si>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</si>
  <si>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</si>
  <si>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</si>
  <si>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</si>
  <si>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</si>
  <si>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</si>
  <si>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</si>
  <si>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</si>
  <si>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</si>
  <si>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</si>
  <si>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</si>
  <si>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</si>
  <si>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</si>
  <si>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</si>
  <si>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</si>
  <si>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</si>
  <si>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</si>
  <si>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</si>
  <si>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</si>
  <si>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</si>
  <si>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</si>
  <si>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</si>
  <si>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</si>
  <si>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</si>
  <si>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</si>
  <si>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</si>
  <si>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</si>
  <si>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</si>
  <si>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</si>
  <si>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</si>
  <si>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</si>
  <si>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</si>
  <si>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</si>
  <si>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</si>
  <si>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</si>
  <si>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</si>
  <si>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</si>
  <si>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</si>
  <si>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</si>
  <si>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</si>
  <si>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</si>
  <si>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</si>
  <si>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</si>
  <si>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</si>
  <si>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</si>
  <si>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</si>
  <si>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</si>
  <si>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</si>
  <si>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</si>
  <si>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</si>
  <si>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</si>
  <si>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</si>
  <si>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</si>
  <si>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</si>
  <si>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</si>
  <si>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</si>
  <si>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</si>
  <si>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</si>
  <si>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</si>
  <si>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</si>
  <si>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</si>
  <si>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</si>
  <si>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</si>
  <si>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</si>
  <si>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</si>
  <si>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</si>
  <si>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</si>
  <si>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</si>
  <si>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</si>
  <si>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</si>
  <si>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</si>
  <si>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</si>
  <si>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</si>
  <si>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</si>
  <si>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</si>
  <si>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</si>
  <si>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</si>
  <si>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</si>
  <si>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</si>
  <si>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</si>
  <si>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</si>
  <si>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</si>
  <si>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</si>
  <si>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</si>
  <si>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</si>
  <si>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</si>
  <si>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</si>
  <si>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</si>
  <si>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</si>
  <si>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</si>
  <si>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</si>
  <si>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</si>
  <si>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</si>
  <si>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</si>
  <si>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</si>
  <si>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</si>
  <si>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</si>
  <si>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</si>
  <si>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</si>
  <si>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</si>
  <si>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</si>
  <si>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</si>
  <si>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</si>
  <si>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</si>
  <si>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</si>
  <si>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</si>
  <si>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</si>
  <si>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</si>
  <si>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</si>
  <si>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</si>
  <si>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</si>
  <si>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</si>
  <si>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</si>
  <si>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</si>
  <si>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</si>
  <si>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</si>
  <si>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</si>
  <si>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</si>
  <si>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</si>
  <si>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</si>
  <si>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</si>
  <si>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</si>
  <si>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</si>
  <si>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</si>
  <si>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</si>
  <si>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</si>
  <si>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</si>
  <si>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</si>
  <si>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</si>
  <si>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</si>
  <si>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</si>
  <si>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</si>
  <si>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</si>
  <si>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</si>
  <si>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</si>
  <si>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</si>
  <si>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</si>
  <si>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</si>
  <si>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</si>
  <si>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</si>
  <si>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</si>
  <si>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</si>
  <si>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</si>
  <si>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</si>
  <si>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</si>
  <si>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</si>
  <si>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</si>
  <si>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</si>
  <si>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</si>
  <si>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</si>
  <si>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</si>
  <si>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</si>
  <si>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</si>
  <si>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</si>
  <si>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</si>
  <si>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</si>
  <si>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</si>
  <si>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</si>
  <si>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</si>
  <si>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</si>
  <si>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</si>
  <si>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</si>
  <si>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</si>
  <si>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</si>
  <si>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</si>
  <si>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</si>
  <si>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</si>
  <si>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</si>
  <si>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</si>
  <si>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</si>
  <si>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</si>
  <si>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</si>
  <si>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</si>
  <si>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</si>
  <si>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</si>
  <si>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</si>
  <si>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</si>
  <si>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</si>
  <si>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</si>
  <si>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</si>
  <si>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</si>
  <si>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</si>
  <si>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</si>
  <si>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</si>
  <si>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</si>
  <si>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</si>
  <si>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</si>
  <si>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</si>
  <si>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</si>
  <si>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</si>
  <si>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</si>
  <si>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</si>
  <si>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</si>
  <si>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</si>
  <si>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</si>
  <si>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</si>
  <si>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</si>
  <si>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</si>
  <si>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</si>
  <si>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</si>
  <si>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</si>
  <si>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</si>
  <si>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</si>
  <si>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</si>
  <si>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</si>
  <si>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</si>
  <si>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</si>
  <si>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</si>
  <si>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</si>
  <si>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</si>
  <si>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</si>
  <si>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</si>
  <si>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</si>
  <si>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</si>
  <si>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</si>
  <si>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</si>
  <si>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</si>
  <si>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</si>
  <si>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</si>
  <si>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</si>
  <si>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</si>
  <si>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</si>
  <si>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</si>
  <si>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</si>
  <si>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</si>
  <si>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</si>
  <si>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</si>
  <si>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</si>
  <si>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</si>
  <si>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</si>
  <si>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</si>
  <si>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</si>
  <si>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</si>
  <si>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</si>
  <si>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</si>
  <si>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</si>
  <si>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</si>
  <si>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</si>
  <si>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</si>
  <si>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</si>
  <si>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</si>
  <si>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</si>
  <si>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</si>
  <si>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</si>
  <si>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</si>
  <si>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</si>
  <si>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</si>
  <si>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</si>
  <si>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</si>
  <si>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</si>
  <si>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</si>
  <si>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</si>
  <si>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</si>
  <si>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</si>
  <si>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</si>
  <si>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</si>
  <si>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</si>
  <si>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</si>
  <si>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</si>
  <si>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</si>
  <si>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</si>
  <si>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</si>
  <si>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</si>
  <si>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</si>
  <si>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</si>
  <si>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</si>
  <si>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</si>
  <si>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</si>
  <si>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</si>
  <si>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</si>
  <si>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</si>
  <si>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</si>
  <si>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</si>
  <si>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</si>
  <si>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</si>
  <si>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</si>
  <si>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</si>
  <si>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</si>
  <si>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</si>
  <si>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</si>
  <si>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</si>
  <si>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</si>
  <si>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</si>
  <si>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</si>
  <si>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</si>
  <si>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</si>
  <si>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</si>
  <si>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</si>
  <si>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</si>
  <si>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</si>
  <si>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</si>
  <si>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</si>
  <si>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</si>
  <si>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</si>
  <si>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</si>
  <si>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</si>
  <si>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</si>
  <si>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</si>
  <si>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</si>
  <si>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</si>
  <si>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</si>
  <si>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</si>
  <si>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</si>
  <si>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</si>
  <si>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</si>
  <si>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</si>
  <si>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</si>
  <si>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</si>
  <si>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</si>
  <si>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</si>
  <si>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</si>
  <si>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</si>
  <si>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</si>
  <si>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</si>
  <si>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</si>
  <si>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</si>
  <si>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</si>
  <si>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</si>
  <si>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</si>
  <si>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</si>
  <si>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</si>
  <si>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</si>
  <si>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</si>
  <si>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</si>
  <si>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</si>
  <si>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</si>
  <si>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</si>
  <si>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</si>
  <si>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</si>
  <si>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</si>
  <si>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</si>
  <si>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</si>
  <si>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</si>
  <si>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</si>
  <si>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</si>
  <si>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</si>
  <si>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</si>
  <si>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</si>
  <si>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</si>
  <si>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</si>
  <si>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</si>
  <si>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</si>
  <si>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</si>
  <si>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</si>
  <si>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</si>
  <si>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</si>
  <si>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</si>
  <si>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</si>
  <si>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</si>
  <si>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</si>
  <si>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</si>
  <si>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</si>
  <si>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</si>
  <si>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</si>
  <si>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</si>
  <si>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</si>
  <si>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</si>
  <si>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</si>
  <si>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</si>
  <si>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</si>
  <si>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</si>
  <si>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</si>
  <si>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</si>
  <si>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</si>
  <si>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</si>
  <si>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</si>
  <si>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</si>
  <si>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</si>
  <si>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</si>
  <si>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</si>
  <si>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</si>
  <si>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</si>
  <si>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</si>
  <si>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</si>
  <si>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</si>
  <si>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</si>
  <si>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</si>
  <si>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</si>
  <si>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</si>
  <si>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</si>
  <si>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</si>
  <si>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</si>
  <si>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</si>
  <si>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</si>
  <si>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</si>
  <si>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</si>
  <si>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</si>
  <si>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</si>
  <si>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</si>
  <si>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</si>
  <si>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</si>
  <si>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</si>
  <si>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</si>
  <si>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</si>
  <si>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</si>
  <si>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</si>
  <si>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</si>
  <si>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</si>
  <si>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</si>
  <si>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</si>
  <si>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</si>
  <si>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</si>
  <si>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</si>
  <si>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</si>
  <si>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</si>
  <si>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</si>
  <si>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</si>
  <si>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</si>
  <si>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</si>
  <si>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</si>
  <si>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</si>
  <si>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</si>
  <si>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</si>
  <si>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</si>
  <si>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</si>
  <si>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</si>
  <si>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</si>
  <si>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</si>
  <si>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</si>
  <si>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</si>
  <si>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</si>
  <si>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</si>
  <si>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</si>
  <si>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</si>
  <si>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</si>
  <si>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</si>
  <si>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</si>
  <si>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</si>
  <si>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</si>
  <si>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</si>
  <si>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</si>
  <si>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</si>
  <si>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</si>
  <si>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</si>
  <si>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</si>
  <si>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</si>
  <si>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</si>
  <si>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</si>
  <si>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</si>
  <si>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</si>
  <si>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</si>
  <si>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</si>
  <si>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</si>
  <si>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</si>
  <si>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</si>
  <si>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</si>
  <si>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</si>
  <si>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</si>
  <si>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</si>
  <si>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</si>
  <si>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</si>
  <si>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</si>
  <si>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</si>
  <si>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</si>
  <si>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</si>
  <si>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</si>
  <si>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</si>
  <si>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</si>
  <si>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</si>
  <si>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</si>
  <si>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</si>
  <si>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</si>
  <si>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</si>
  <si>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</si>
  <si>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</si>
  <si>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</si>
  <si>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</si>
  <si>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</si>
  <si>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</si>
  <si>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</si>
  <si>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</si>
  <si>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</si>
  <si>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</si>
  <si>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</si>
  <si>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</si>
  <si>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</si>
  <si>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</si>
  <si>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</si>
  <si>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</si>
  <si>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</si>
  <si>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</si>
  <si>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</si>
  <si>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</si>
  <si>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</si>
  <si>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</si>
  <si>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</si>
  <si>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</si>
  <si>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</si>
  <si>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</si>
  <si>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</si>
  <si>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</si>
  <si>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</si>
  <si>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</si>
  <si>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</si>
  <si>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</si>
  <si>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</si>
  <si>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</si>
  <si>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</si>
  <si>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</si>
  <si>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</si>
  <si>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</si>
  <si>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</si>
  <si>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</si>
  <si>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</si>
  <si>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</si>
  <si>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</si>
  <si>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</si>
  <si>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</si>
  <si>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</si>
  <si>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</si>
  <si>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</si>
  <si>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</si>
  <si>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</si>
  <si>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</si>
  <si>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</si>
  <si>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</si>
  <si>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</si>
  <si>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</si>
  <si>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</si>
  <si>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</si>
  <si>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</si>
  <si>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</si>
  <si>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</si>
  <si>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</si>
  <si>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</si>
  <si>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</si>
  <si>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</si>
  <si>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</si>
  <si>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</si>
  <si>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</si>
  <si>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</si>
  <si>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</si>
  <si>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</si>
  <si>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</si>
  <si>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</si>
  <si>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</si>
  <si>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</si>
  <si>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</si>
  <si>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</si>
  <si>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</si>
  <si>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</si>
  <si>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</si>
  <si>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</si>
  <si>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</si>
  <si>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</si>
  <si>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</si>
  <si>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</si>
  <si>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</si>
  <si>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</si>
  <si>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</si>
  <si>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</si>
  <si>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</si>
  <si>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</si>
  <si>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</si>
  <si>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</si>
  <si>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</si>
  <si>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</si>
  <si>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</si>
  <si>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</si>
  <si>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</si>
  <si>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</si>
  <si>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</si>
  <si>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</si>
  <si>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</si>
  <si>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</si>
  <si>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</si>
  <si>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</si>
  <si>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</si>
  <si>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</si>
  <si>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</si>
  <si>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</si>
  <si>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</si>
  <si>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</si>
  <si>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</si>
  <si>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</si>
  <si>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</si>
  <si>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</si>
  <si>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</si>
  <si>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</si>
  <si>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</si>
  <si>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</si>
  <si>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</si>
  <si>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</si>
  <si>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</si>
  <si>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</si>
  <si>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</si>
  <si>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</si>
  <si>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</si>
  <si>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</si>
  <si>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</si>
  <si>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</si>
  <si>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</si>
  <si>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</si>
  <si>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</si>
  <si>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</si>
  <si>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</si>
  <si>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</si>
  <si>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</si>
  <si>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</si>
  <si>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</si>
  <si>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</si>
  <si>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</si>
  <si>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</si>
  <si>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</si>
  <si>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</si>
  <si>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</si>
  <si>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</si>
  <si>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</si>
  <si>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</si>
  <si>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</si>
  <si>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</si>
  <si>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</si>
  <si>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</si>
  <si>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</si>
  <si>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</si>
  <si>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</si>
  <si>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</si>
  <si>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</si>
  <si>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</si>
  <si>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</si>
  <si>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</si>
  <si>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</si>
  <si>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</si>
  <si>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</si>
  <si>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</si>
  <si>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</si>
  <si>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</si>
  <si>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</si>
  <si>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</si>
  <si>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</si>
  <si>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</si>
  <si>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</si>
  <si>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</si>
  <si>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</si>
  <si>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</si>
  <si>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</si>
  <si>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</si>
  <si>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</si>
  <si>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</si>
  <si>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</si>
  <si>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</si>
  <si>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</si>
  <si>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</si>
  <si>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</si>
  <si>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</si>
  <si>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</si>
  <si>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</si>
  <si>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</si>
  <si>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</si>
  <si>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</si>
  <si>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</si>
  <si>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</si>
  <si>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</si>
  <si>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</si>
  <si>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</si>
  <si>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</si>
  <si>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</si>
  <si>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</si>
  <si>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</si>
  <si>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</si>
  <si>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</si>
  <si>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</si>
  <si>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</si>
  <si>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</si>
  <si>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</si>
  <si>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</si>
  <si>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</si>
  <si>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</si>
  <si>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</si>
  <si>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</si>
  <si>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</si>
  <si>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</si>
  <si>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</si>
  <si>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</si>
  <si>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</si>
  <si>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</si>
  <si>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</si>
  <si>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</si>
  <si>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</si>
  <si>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</si>
  <si>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</si>
  <si>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</si>
  <si>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</si>
  <si>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</si>
  <si>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</si>
  <si>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</si>
  <si>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</si>
  <si>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</si>
  <si>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</si>
  <si>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</si>
  <si>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</si>
  <si>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</si>
  <si>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</si>
  <si>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</si>
  <si>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</si>
  <si>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</si>
  <si>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</si>
  <si>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</si>
  <si>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</si>
  <si>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</si>
  <si>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</si>
  <si>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</si>
  <si>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</si>
  <si>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</si>
  <si>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</si>
  <si>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</si>
  <si>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</si>
  <si>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</si>
  <si>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</si>
  <si>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</si>
  <si>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</si>
  <si>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</si>
  <si>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</si>
  <si>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</si>
  <si>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</si>
  <si>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</si>
  <si>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</si>
  <si>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</si>
  <si>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</si>
  <si>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</si>
  <si>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</si>
  <si>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</si>
  <si>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</si>
  <si>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</si>
  <si>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</si>
  <si>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</si>
  <si>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</si>
  <si>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</si>
  <si>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</si>
  <si>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</si>
  <si>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</si>
  <si>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</si>
  <si>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</si>
  <si>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</si>
  <si>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</si>
  <si>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</si>
  <si>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</si>
  <si>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</si>
  <si>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</si>
  <si>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</si>
  <si>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</si>
  <si>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</si>
  <si>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</si>
  <si>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</si>
  <si>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</si>
  <si>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</si>
  <si>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</si>
  <si>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</si>
  <si>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</si>
  <si>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</si>
  <si>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</si>
  <si>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</si>
  <si>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</si>
  <si>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</si>
  <si>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</si>
  <si>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</si>
  <si>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</si>
  <si>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</si>
  <si>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</si>
  <si>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</si>
  <si>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</si>
  <si>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</si>
  <si>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</si>
  <si>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</si>
  <si>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</si>
  <si>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</si>
  <si>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</si>
  <si>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</si>
  <si>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</si>
  <si>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</si>
  <si>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</si>
  <si>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</si>
  <si>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</si>
  <si>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</si>
  <si>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</si>
  <si>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</si>
  <si>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</si>
  <si>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</si>
  <si>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</si>
  <si>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</si>
  <si>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</si>
  <si>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</si>
  <si>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</si>
  <si>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</si>
  <si>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</si>
  <si>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</si>
  <si>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</si>
  <si>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</si>
  <si>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</si>
  <si>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</si>
  <si>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</si>
  <si>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</si>
  <si>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</si>
  <si>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</si>
  <si>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</si>
  <si>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</si>
  <si>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</si>
  <si>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</si>
  <si>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</si>
  <si>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</si>
  <si>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</si>
  <si>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</si>
  <si>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</si>
  <si>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</si>
  <si>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</si>
  <si>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</si>
  <si>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</si>
  <si>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</si>
  <si>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</si>
  <si>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</si>
  <si>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</si>
  <si>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</si>
  <si>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</si>
  <si>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</si>
  <si>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</si>
  <si>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</si>
  <si>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</si>
  <si>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</si>
  <si>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</si>
  <si>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</si>
  <si>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</si>
  <si>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</si>
  <si>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</si>
  <si>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</si>
  <si>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</si>
  <si>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</si>
  <si>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</si>
  <si>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</si>
  <si>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</si>
  <si>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</si>
  <si>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</si>
  <si>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</si>
  <si>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</si>
  <si>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</si>
  <si>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</si>
  <si>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</si>
  <si>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</si>
  <si>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</si>
  <si>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</si>
  <si>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</si>
  <si>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</si>
  <si>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</si>
  <si>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</si>
  <si>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</si>
  <si>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</si>
  <si>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</si>
  <si>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</si>
  <si>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</si>
  <si>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</si>
  <si>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</si>
  <si>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</si>
  <si>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</si>
  <si>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</si>
  <si>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</si>
  <si>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</si>
  <si>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</si>
  <si>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</si>
  <si>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</si>
  <si>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</si>
  <si>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</si>
  <si>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</si>
  <si>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</si>
  <si>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</si>
  <si>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</si>
  <si>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</si>
  <si>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</si>
  <si>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</si>
  <si>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</si>
  <si>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</si>
  <si>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</si>
  <si>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</si>
  <si>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</si>
  <si>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</si>
  <si>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</si>
  <si>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</si>
  <si>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</si>
  <si>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</si>
  <si>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</si>
  <si>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</si>
  <si>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</si>
  <si>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</si>
  <si>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</si>
  <si>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</si>
  <si>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</si>
  <si>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</si>
  <si>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</si>
  <si>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</si>
  <si>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</si>
  <si>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</si>
  <si>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</si>
  <si>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</si>
  <si>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</si>
  <si>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</si>
  <si>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</si>
  <si>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</si>
  <si>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</si>
  <si>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</si>
  <si>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</si>
  <si>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</si>
  <si>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</si>
  <si>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</si>
  <si>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</si>
  <si>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</si>
  <si>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</si>
  <si>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</si>
  <si>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</si>
  <si>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</si>
  <si>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</si>
  <si>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</si>
  <si>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</si>
  <si>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</si>
  <si>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</si>
  <si>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</si>
  <si>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</si>
  <si>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</si>
  <si>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</si>
  <si>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</si>
  <si>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</si>
  <si>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</si>
  <si>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</si>
  <si>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</si>
  <si>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</si>
  <si>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</si>
  <si>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</si>
  <si>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</si>
  <si>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</si>
  <si>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</si>
  <si>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</si>
  <si>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</si>
  <si>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</si>
  <si>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</si>
  <si>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</si>
  <si>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</si>
  <si>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</si>
  <si>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</si>
  <si>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</si>
  <si>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</si>
  <si>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</si>
  <si>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</si>
  <si>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</si>
  <si>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</si>
  <si>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</si>
  <si>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</si>
  <si>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</si>
  <si>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</si>
  <si>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</si>
  <si>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</si>
  <si>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</si>
  <si>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</si>
  <si>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</si>
  <si>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</si>
  <si>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</si>
  <si>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</si>
  <si>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</si>
  <si>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</si>
  <si>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</si>
  <si>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</si>
  <si>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</si>
  <si>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</si>
  <si>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</si>
  <si>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</si>
  <si>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</si>
  <si>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</si>
  <si>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</si>
  <si>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</si>
  <si>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</si>
  <si>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</si>
  <si>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</si>
  <si>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</si>
  <si>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</si>
  <si>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</si>
  <si>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</si>
  <si>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</si>
  <si>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</si>
  <si>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</si>
  <si>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</si>
  <si>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</si>
  <si>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</si>
  <si>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</si>
  <si>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</si>
  <si>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</si>
  <si>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</si>
  <si>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</si>
  <si>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</si>
  <si>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</si>
  <si>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</si>
  <si>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</si>
  <si>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</si>
  <si>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</si>
  <si>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</si>
  <si>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</si>
  <si>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</si>
  <si>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</si>
  <si>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</si>
  <si>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</si>
  <si>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</si>
  <si>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</si>
  <si>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</si>
  <si>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</si>
  <si>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</si>
  <si>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</si>
  <si>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</si>
  <si>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</si>
  <si>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</si>
  <si>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</si>
  <si>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</si>
  <si>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</si>
  <si>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</si>
  <si>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</si>
  <si>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</si>
  <si>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</si>
  <si>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</si>
  <si>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</si>
  <si>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</si>
  <si>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</si>
  <si>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</si>
  <si>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</si>
  <si>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</si>
  <si>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</si>
  <si>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</si>
  <si>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</si>
  <si>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</si>
  <si>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</si>
  <si>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</si>
  <si>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</si>
  <si>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</si>
  <si>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</si>
  <si>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</si>
  <si>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</si>
  <si>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</si>
  <si>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</si>
  <si>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</si>
  <si>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</si>
  <si>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</si>
  <si>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</si>
  <si>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</si>
  <si>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</si>
  <si>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</si>
  <si>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</si>
  <si>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</si>
  <si>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</si>
  <si>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</si>
  <si>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</si>
  <si>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</si>
  <si>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</si>
  <si>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</si>
  <si>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</si>
  <si>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</si>
  <si>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</si>
  <si>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</si>
  <si>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</si>
  <si>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</si>
  <si>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</si>
  <si>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</si>
  <si>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</si>
  <si>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</si>
  <si>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</si>
  <si>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</si>
  <si>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</si>
  <si>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</si>
  <si>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</si>
  <si>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</si>
  <si>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</si>
  <si>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</si>
  <si>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</si>
  <si>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</si>
  <si>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</si>
  <si>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</si>
  <si>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</si>
  <si>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</si>
  <si>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</si>
  <si>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</si>
  <si>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</si>
  <si>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</si>
  <si>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</si>
  <si>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</si>
  <si>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</si>
  <si>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</si>
  <si>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</si>
  <si>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</si>
  <si>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</si>
  <si>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</si>
  <si>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</si>
  <si>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</si>
  <si>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</si>
  <si>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</si>
  <si>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</si>
  <si>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</si>
  <si>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</si>
  <si>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</si>
  <si>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</si>
  <si>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</si>
  <si>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</si>
  <si>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</si>
  <si>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</si>
  <si>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</si>
  <si>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</si>
  <si>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</si>
  <si>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</si>
  <si>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</si>
  <si>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</si>
  <si>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</si>
  <si>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</si>
  <si>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</si>
  <si>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</si>
  <si>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</si>
  <si>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</si>
  <si>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</si>
  <si>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</si>
  <si>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</si>
  <si>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</si>
  <si>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</si>
  <si>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</si>
  <si>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</si>
  <si>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</si>
  <si>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</si>
  <si>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</si>
  <si>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</si>
  <si>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</si>
  <si>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</si>
  <si>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</si>
  <si>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</si>
  <si>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</si>
  <si>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</si>
  <si>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</si>
  <si>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</si>
  <si>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</si>
  <si>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</si>
  <si>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</si>
  <si>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</si>
  <si>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</si>
  <si>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</si>
  <si>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</si>
  <si>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</si>
  <si>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</si>
  <si>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</si>
  <si>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</si>
  <si>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</si>
  <si>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</si>
  <si>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</si>
  <si>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</si>
  <si>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</si>
  <si>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</si>
  <si>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</si>
  <si>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</si>
  <si>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</si>
  <si>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</si>
  <si>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</si>
  <si>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</si>
  <si>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</si>
  <si>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</si>
  <si>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</si>
  <si>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</si>
  <si>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</si>
  <si>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</si>
  <si>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</si>
  <si>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</si>
  <si>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</si>
  <si>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</si>
  <si>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</si>
  <si>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</si>
  <si>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</si>
  <si>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</si>
  <si>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</si>
  <si>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</si>
  <si>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</si>
  <si>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</si>
  <si>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</si>
  <si>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</si>
  <si>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</si>
  <si>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</si>
  <si>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</si>
  <si>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</si>
  <si>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</si>
  <si>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</si>
  <si>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</si>
  <si>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</si>
  <si>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</si>
  <si>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</si>
  <si>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</si>
  <si>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</si>
  <si>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</si>
  <si>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</si>
  <si>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</si>
  <si>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</si>
  <si>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</si>
  <si>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</si>
  <si>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</si>
  <si>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</si>
  <si>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</si>
  <si>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</si>
  <si>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</si>
  <si>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</si>
  <si>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</si>
  <si>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</si>
  <si>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</si>
  <si>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</si>
  <si>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</si>
  <si>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</si>
  <si>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</si>
  <si>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</si>
  <si>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</si>
  <si>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</si>
  <si>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</si>
  <si>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</si>
  <si>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</si>
  <si>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</si>
  <si>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</si>
  <si>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</si>
  <si>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</si>
  <si>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</si>
  <si>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</si>
  <si>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</si>
  <si>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</si>
  <si>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</si>
  <si>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</si>
  <si>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</si>
  <si>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</si>
  <si>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</si>
  <si>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</si>
  <si>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</si>
  <si>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</si>
  <si>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</si>
  <si>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</si>
  <si>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</si>
  <si>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</si>
  <si>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</si>
  <si>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</si>
  <si>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</si>
  <si>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</si>
  <si>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</si>
  <si>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</si>
  <si>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</si>
  <si>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</si>
  <si>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</si>
  <si>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</si>
  <si>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</si>
  <si>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</si>
  <si>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</si>
  <si>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</si>
  <si>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</si>
  <si>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</si>
  <si>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</si>
  <si>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</si>
  <si>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</si>
  <si>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</si>
  <si>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</si>
  <si>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</si>
  <si>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</si>
  <si>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</si>
  <si>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</si>
  <si>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</si>
  <si>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</si>
  <si>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</si>
  <si>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</si>
  <si>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</si>
  <si>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</si>
  <si>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</si>
  <si>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</si>
  <si>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</si>
  <si>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</si>
  <si>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</si>
  <si>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</si>
  <si>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</si>
  <si>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</si>
  <si>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</si>
  <si>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</si>
  <si>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</si>
  <si>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</si>
  <si>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</si>
  <si>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</si>
  <si>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</si>
  <si>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</si>
  <si>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</si>
  <si>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</si>
  <si>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</si>
  <si>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</si>
  <si>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</si>
  <si>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</si>
  <si>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</si>
  <si>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</si>
  <si>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</si>
  <si>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</si>
  <si>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</si>
  <si>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</si>
  <si>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</si>
  <si>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</si>
  <si>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</si>
  <si>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</si>
  <si>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</si>
  <si>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</si>
  <si>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</si>
  <si>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</si>
  <si>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</si>
  <si>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</si>
  <si>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</si>
  <si>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</si>
  <si>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</si>
  <si>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</si>
  <si>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</si>
  <si>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</si>
  <si>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</si>
  <si>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</si>
  <si>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</si>
  <si>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</si>
  <si>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</si>
  <si>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</si>
  <si>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</si>
  <si>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</si>
  <si>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</si>
  <si>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</si>
  <si>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</si>
  <si>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</si>
  <si>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</si>
  <si>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</si>
  <si>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</si>
  <si>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</si>
  <si>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</si>
  <si>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</si>
  <si>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</si>
  <si>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</si>
  <si>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</si>
  <si>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</si>
  <si>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</si>
  <si>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</si>
  <si>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</si>
  <si>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</si>
  <si>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</si>
  <si>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</si>
  <si>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</si>
  <si>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</si>
  <si>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</si>
  <si>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</si>
  <si>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</si>
  <si>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</si>
  <si>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</si>
  <si>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</si>
  <si>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</si>
  <si>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</si>
  <si>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</si>
  <si>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</si>
  <si>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</si>
  <si>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</si>
  <si>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</si>
  <si>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</si>
  <si>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</si>
  <si>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</si>
  <si>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</si>
  <si>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</si>
  <si>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</si>
  <si>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</si>
  <si>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</si>
  <si>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</si>
  <si>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</si>
  <si>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</si>
  <si>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</si>
  <si>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</si>
  <si>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</si>
  <si>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</si>
  <si>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</si>
  <si>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</si>
  <si>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</si>
  <si>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</si>
  <si>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</si>
  <si>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</si>
  <si>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</si>
  <si>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</si>
  <si>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</si>
  <si>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</si>
  <si>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</si>
  <si>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</si>
  <si>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</si>
  <si>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</si>
  <si>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</si>
  <si>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</si>
  <si>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</si>
  <si>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</si>
  <si>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</si>
  <si>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</si>
  <si>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</si>
  <si>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</si>
  <si>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</si>
  <si>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</si>
  <si>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</si>
  <si>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</si>
  <si>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</si>
  <si>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</si>
  <si>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</si>
  <si>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</si>
  <si>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</si>
  <si>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</si>
  <si>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</si>
  <si>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</si>
  <si>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</si>
  <si>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</si>
  <si>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</si>
  <si>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</si>
  <si>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</si>
  <si>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</si>
  <si>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</si>
  <si>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</si>
  <si>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</si>
  <si>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</si>
  <si>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</si>
  <si>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</si>
  <si>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</si>
  <si>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</si>
  <si>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</si>
  <si>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</si>
  <si>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</si>
  <si>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</si>
  <si>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</si>
  <si>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</si>
  <si>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</si>
  <si>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</si>
  <si>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</si>
  <si>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</si>
  <si>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</si>
  <si>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</si>
  <si>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</si>
  <si>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</si>
  <si>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</si>
  <si>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</si>
  <si>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</si>
  <si>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</si>
  <si>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</si>
  <si>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</si>
  <si>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</si>
  <si>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</si>
  <si>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</si>
  <si>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</si>
  <si>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</si>
  <si>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</si>
  <si>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</si>
  <si>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</si>
  <si>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</si>
  <si>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</si>
  <si>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</si>
  <si>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</si>
  <si>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</si>
  <si>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</si>
  <si>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</si>
  <si>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</si>
  <si>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</si>
  <si>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</si>
  <si>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</si>
  <si>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</si>
  <si>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</si>
  <si>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</si>
  <si>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</si>
  <si>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</si>
  <si>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</si>
  <si>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</si>
  <si>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</si>
  <si>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</si>
  <si>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</si>
  <si>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</si>
  <si>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</si>
  <si>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</si>
  <si>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</si>
  <si>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</si>
  <si>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</si>
  <si>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</si>
  <si>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</si>
  <si>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</si>
  <si>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</si>
  <si>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</si>
  <si>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</si>
  <si>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</si>
  <si>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</si>
  <si>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</si>
  <si>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</si>
  <si>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</si>
  <si>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</si>
  <si>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</si>
  <si>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</si>
  <si>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</si>
  <si>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</si>
  <si>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</si>
  <si>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</si>
  <si>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</si>
  <si>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</si>
  <si>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</si>
  <si>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</si>
  <si>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</si>
  <si>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</si>
  <si>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</si>
  <si>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</si>
  <si>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</si>
  <si>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</si>
  <si>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</si>
  <si>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</si>
  <si>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</si>
  <si>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</si>
  <si>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</si>
  <si>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</si>
  <si>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</si>
  <si>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</si>
  <si>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</si>
  <si>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</si>
  <si>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</si>
  <si>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</si>
  <si>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</si>
  <si>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</si>
  <si>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</si>
  <si>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</si>
  <si>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</si>
  <si>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</si>
  <si>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</si>
  <si>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</si>
  <si>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</si>
  <si>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</si>
  <si>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</si>
  <si>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</si>
  <si>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</si>
  <si>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</si>
  <si>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</si>
  <si>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</si>
  <si>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</si>
  <si>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</si>
  <si>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</si>
  <si>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</si>
  <si>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</si>
  <si>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</si>
  <si>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</si>
  <si>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</si>
  <si>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</si>
  <si>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</si>
  <si>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</si>
  <si>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</si>
  <si>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</si>
  <si>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</si>
  <si>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</si>
  <si>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</si>
  <si>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</si>
  <si>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</si>
  <si>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</si>
  <si>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</si>
  <si>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</si>
  <si>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</si>
  <si>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</si>
  <si>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</si>
  <si>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</si>
  <si>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</si>
  <si>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</si>
  <si>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</si>
  <si>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</si>
  <si>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</si>
  <si>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</si>
  <si>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</si>
  <si>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</si>
  <si>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</si>
  <si>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</si>
  <si>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</si>
  <si>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</si>
  <si>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</si>
  <si>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</si>
  <si>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</si>
  <si>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</si>
  <si>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</si>
  <si>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</si>
  <si>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</si>
  <si>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</si>
  <si>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</si>
  <si>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</si>
  <si>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</si>
  <si>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</si>
  <si>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</si>
  <si>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</si>
  <si>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</si>
  <si>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</si>
  <si>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</si>
  <si>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</si>
  <si>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</si>
  <si>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</si>
  <si>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</si>
  <si>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</si>
  <si>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</si>
  <si>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</si>
  <si>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</si>
  <si>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</si>
  <si>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</si>
  <si>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</si>
  <si>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</si>
  <si>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</si>
  <si>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</si>
  <si>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</si>
  <si>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</si>
  <si>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</si>
  <si>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</si>
  <si>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</si>
  <si>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</si>
  <si>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</si>
  <si>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</si>
  <si>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</si>
  <si>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</si>
  <si>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</si>
  <si>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</si>
  <si>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</si>
  <si>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</si>
  <si>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</si>
  <si>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</si>
  <si>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</si>
  <si>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</si>
  <si>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</si>
  <si>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</si>
  <si>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</si>
  <si>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</si>
  <si>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</si>
  <si>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</si>
  <si>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</si>
  <si>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</si>
  <si>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</si>
  <si>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</si>
  <si>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</si>
  <si>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</si>
  <si>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</si>
  <si>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</si>
  <si>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</si>
  <si>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</si>
  <si>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</si>
  <si>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</si>
  <si>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</si>
  <si>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</si>
  <si>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</si>
  <si>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</si>
  <si>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</si>
  <si>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</si>
  <si>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</si>
  <si>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</si>
  <si>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</si>
  <si>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</si>
  <si>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</si>
  <si>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</si>
  <si>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</si>
  <si>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</si>
  <si>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</si>
  <si>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</si>
  <si>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</si>
  <si>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</si>
  <si>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</si>
  <si>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</si>
  <si>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</si>
  <si>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</si>
  <si>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</si>
  <si>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</si>
  <si>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</si>
  <si>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</si>
  <si>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</si>
  <si>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</si>
  <si>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</si>
  <si>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</si>
  <si>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</si>
  <si>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</si>
  <si>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</si>
  <si>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</si>
  <si>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</si>
  <si>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</si>
  <si>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</si>
  <si>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</si>
  <si>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</si>
  <si>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</si>
  <si>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</si>
  <si>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</si>
  <si>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</si>
  <si>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</si>
  <si>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</si>
  <si>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</si>
  <si>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</si>
  <si>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</si>
  <si>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</si>
  <si>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</si>
  <si>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</si>
  <si>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</si>
  <si>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</si>
  <si>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</si>
  <si>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</si>
  <si>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</si>
  <si>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</si>
  <si>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</si>
  <si>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</si>
  <si>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</si>
  <si>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</si>
  <si>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</si>
  <si>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</si>
  <si>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</si>
  <si>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</si>
  <si>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</si>
  <si>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</si>
  <si>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</si>
  <si>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</si>
  <si>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</si>
  <si>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</si>
  <si>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</si>
  <si>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</si>
  <si>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</si>
  <si>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</si>
  <si>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</si>
  <si>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</si>
  <si>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</si>
  <si>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</si>
  <si>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</si>
  <si>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</si>
  <si>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</si>
  <si>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</si>
  <si>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</si>
  <si>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</si>
  <si>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</si>
  <si>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</si>
  <si>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</si>
  <si>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</si>
  <si>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</si>
  <si>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</si>
  <si>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</si>
  <si>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</si>
  <si>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</si>
  <si>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</si>
  <si>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</si>
  <si>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</si>
  <si>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</si>
  <si>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</si>
  <si>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</si>
  <si>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</si>
  <si>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</si>
  <si>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</si>
  <si>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</si>
  <si>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</si>
  <si>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</si>
  <si>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</si>
  <si>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</si>
  <si>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</si>
  <si>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</si>
  <si>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</si>
  <si>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</si>
  <si>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</si>
  <si>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</si>
  <si>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</si>
  <si>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</si>
  <si>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</si>
  <si>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</si>
  <si>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</si>
  <si>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</si>
  <si>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</si>
  <si>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</si>
  <si>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</si>
  <si>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</si>
  <si>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</si>
  <si>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</si>
  <si>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</si>
  <si>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</si>
  <si>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</si>
  <si>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</si>
  <si>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</si>
  <si>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</si>
  <si>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</si>
  <si>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</si>
  <si>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</si>
  <si>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</si>
  <si>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</si>
  <si>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</si>
  <si>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</si>
  <si>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</si>
  <si>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</si>
  <si>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</si>
  <si>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</si>
  <si>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</si>
  <si>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</si>
  <si>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</si>
  <si>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</si>
  <si>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</si>
  <si>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</si>
  <si>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</si>
  <si>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</si>
  <si>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</si>
  <si>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</si>
  <si>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</si>
  <si>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</si>
  <si>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</si>
  <si>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</si>
  <si>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</si>
  <si>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</si>
  <si>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</si>
  <si>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</si>
  <si>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</si>
  <si>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</si>
  <si>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</si>
  <si>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</si>
  <si>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</si>
  <si>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</si>
  <si>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</si>
  <si>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</si>
  <si>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</si>
  <si>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</si>
  <si>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</si>
  <si>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</si>
  <si>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</si>
  <si>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</si>
  <si>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</si>
  <si>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</si>
  <si>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</si>
  <si>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</si>
  <si>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</si>
  <si>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</si>
  <si>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</si>
  <si>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</si>
  <si>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</si>
  <si>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</si>
  <si>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</si>
  <si>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</si>
  <si>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</si>
  <si>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</si>
  <si>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</si>
  <si>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</si>
  <si>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</si>
  <si>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</si>
  <si>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</si>
  <si>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</si>
  <si>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</si>
  <si>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</si>
  <si>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</si>
  <si>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</si>
  <si>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</si>
  <si>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</si>
  <si>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</si>
  <si>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</si>
  <si>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</si>
  <si>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</si>
  <si>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</si>
  <si>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</si>
  <si>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</si>
  <si>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</si>
  <si>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</si>
  <si>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</si>
  <si>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</si>
  <si>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</si>
  <si>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</si>
  <si>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</si>
  <si>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</si>
  <si>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</si>
  <si>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</si>
  <si>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</si>
  <si>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</si>
  <si>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</si>
  <si>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</si>
  <si>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</si>
  <si>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</si>
  <si>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</si>
  <si>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</si>
  <si>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</si>
  <si>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</si>
  <si>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</si>
  <si>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</si>
  <si>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</si>
  <si>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</si>
  <si>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</si>
  <si>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</si>
  <si>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</si>
  <si>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</si>
  <si>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</si>
  <si>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</si>
  <si>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</si>
  <si>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</si>
  <si>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</si>
  <si>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</si>
  <si>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</si>
  <si>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</si>
  <si>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</si>
  <si>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</si>
  <si>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</si>
  <si>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</si>
  <si>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</si>
  <si>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</si>
  <si>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</si>
  <si>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</si>
  <si>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</si>
  <si>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</si>
  <si>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</si>
  <si>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</si>
  <si>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</si>
  <si>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</si>
  <si>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</si>
  <si>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</si>
  <si>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</si>
  <si>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</si>
  <si>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</si>
  <si>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</si>
  <si>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</si>
  <si>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</si>
  <si>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</si>
  <si>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</si>
  <si>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</si>
  <si>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</si>
  <si>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</si>
  <si>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</si>
  <si>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</si>
  <si>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</si>
  <si>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</si>
  <si>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</si>
  <si>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</si>
  <si>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</si>
  <si>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</si>
  <si>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</si>
  <si>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</si>
  <si>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</si>
  <si>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</si>
  <si>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</si>
  <si>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</si>
  <si>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</si>
  <si>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</si>
  <si>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</si>
  <si>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</si>
  <si>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</si>
  <si>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</si>
  <si>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</si>
  <si>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</si>
  <si>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</si>
  <si>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</si>
  <si>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</si>
  <si>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</si>
  <si>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</si>
  <si>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</si>
  <si>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</si>
  <si>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</si>
  <si>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</si>
  <si>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</si>
  <si>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</si>
  <si>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</si>
  <si>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</si>
  <si>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</si>
  <si>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</si>
  <si>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</si>
  <si>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</si>
  <si>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</si>
  <si>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</si>
  <si>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</si>
  <si>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</si>
  <si>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</si>
  <si>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</si>
  <si>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</si>
  <si>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</si>
  <si>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</si>
  <si>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</si>
  <si>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</si>
  <si>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</si>
  <si>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</si>
  <si>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</si>
  <si>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</si>
  <si>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</si>
  <si>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</si>
  <si>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</si>
  <si>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</si>
  <si>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</si>
  <si>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</si>
  <si>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</si>
  <si>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</si>
  <si>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</si>
  <si>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</si>
  <si>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</si>
  <si>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</si>
  <si>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</si>
  <si>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</si>
  <si>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</si>
  <si>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</si>
  <si>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</si>
  <si>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</si>
  <si>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</si>
  <si>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</si>
  <si>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</si>
  <si>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</si>
  <si>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</si>
  <si>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</si>
  <si>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</si>
  <si>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</si>
  <si>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</si>
  <si>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</si>
  <si>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</si>
  <si>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</si>
  <si>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</si>
  <si>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</si>
  <si>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</si>
  <si>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</si>
  <si>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</si>
  <si>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</si>
  <si>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</si>
  <si>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</si>
  <si>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</si>
  <si>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</si>
  <si>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</si>
  <si>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</si>
  <si>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</si>
  <si>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</si>
  <si>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</si>
  <si>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</si>
  <si>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</si>
  <si>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</si>
  <si>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</si>
  <si>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</si>
  <si>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</si>
  <si>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</si>
  <si>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</si>
  <si>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</si>
  <si>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</si>
  <si>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</si>
  <si>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</si>
  <si>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</si>
  <si>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</si>
  <si>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</si>
  <si>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</si>
  <si>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</si>
  <si>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</si>
  <si>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</si>
  <si>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</si>
  <si>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</si>
  <si>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</si>
  <si>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</si>
  <si>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</si>
  <si>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</si>
  <si>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</si>
  <si>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</si>
  <si>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</si>
  <si>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</si>
  <si>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</si>
  <si>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</si>
  <si>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</si>
  <si>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</si>
  <si>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</si>
  <si>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</si>
  <si>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</si>
  <si>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</si>
  <si>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</si>
  <si>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</si>
  <si>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</si>
  <si>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</si>
  <si>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</si>
  <si>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</si>
  <si>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</si>
  <si>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</si>
  <si>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</si>
  <si>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</si>
  <si>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</si>
  <si>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</si>
  <si>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</si>
  <si>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</si>
  <si>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</si>
  <si>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</si>
  <si>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</si>
  <si>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</si>
  <si>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</si>
  <si>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</si>
  <si>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</si>
  <si>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</si>
  <si>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</si>
  <si>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</si>
  <si>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</si>
  <si>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</si>
  <si>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</si>
  <si>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</si>
  <si>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</si>
  <si>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</si>
  <si>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</si>
  <si>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</si>
  <si>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</si>
  <si>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</si>
  <si>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</si>
  <si>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</si>
  <si>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</si>
  <si>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</si>
  <si>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</si>
  <si>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</si>
  <si>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</si>
  <si>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</si>
  <si>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</si>
  <si>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</si>
  <si>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</si>
  <si>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</si>
  <si>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</si>
  <si>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</si>
  <si>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</si>
  <si>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</si>
  <si>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</si>
  <si>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</si>
  <si>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</si>
  <si>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</si>
  <si>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</si>
  <si>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</si>
  <si>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</si>
  <si>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</si>
  <si>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</si>
  <si>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</si>
  <si>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</si>
  <si>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</si>
  <si>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</si>
  <si>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</si>
  <si>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</si>
  <si>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</si>
  <si>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</si>
  <si>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</si>
  <si>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</si>
  <si>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</si>
  <si>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</si>
  <si>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</si>
  <si>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</si>
  <si>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</si>
  <si>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</si>
  <si>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</si>
  <si>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</si>
  <si>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</si>
  <si>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</si>
  <si>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</si>
  <si>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</si>
  <si>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</si>
  <si>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</si>
  <si>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</si>
  <si>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</si>
  <si>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</si>
  <si>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</si>
  <si>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</si>
  <si>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</si>
  <si>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</si>
  <si>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</si>
  <si>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</si>
  <si>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</si>
  <si>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</si>
  <si>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</si>
  <si>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</si>
  <si>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</si>
  <si>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</si>
  <si>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</si>
  <si>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</si>
  <si>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</si>
  <si>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</si>
  <si>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</si>
  <si>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</si>
  <si>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</si>
  <si>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</si>
  <si>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</si>
  <si>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</si>
  <si>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</si>
  <si>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</si>
  <si>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</si>
  <si>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</si>
  <si>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</si>
  <si>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</si>
  <si>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</si>
  <si>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</si>
  <si>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</si>
  <si>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</si>
  <si>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</si>
  <si>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</si>
  <si>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</si>
  <si>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</si>
  <si>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</si>
  <si>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</si>
  <si>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</si>
  <si>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</si>
  <si>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</si>
  <si>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</si>
  <si>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</si>
  <si>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</si>
  <si>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</si>
  <si>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</si>
  <si>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</si>
  <si>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</si>
  <si>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</si>
  <si>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</si>
  <si>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</si>
  <si>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</si>
  <si>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</si>
  <si>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</si>
  <si>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</si>
  <si>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</si>
  <si>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</si>
  <si>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</si>
  <si>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</si>
  <si>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</si>
  <si>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</si>
  <si>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</si>
  <si>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</si>
  <si>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</si>
  <si>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</si>
  <si>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</si>
  <si>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</si>
  <si>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</si>
  <si>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</si>
  <si>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</si>
  <si>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</si>
  <si>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</si>
  <si>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</si>
  <si>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</si>
  <si>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</si>
  <si>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</si>
  <si>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</si>
  <si>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</si>
  <si>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</si>
  <si>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</si>
  <si>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</si>
  <si>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</si>
  <si>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</si>
  <si>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</si>
  <si>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</si>
  <si>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</si>
  <si>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</si>
  <si>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</si>
  <si>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</si>
  <si>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</si>
  <si>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</si>
  <si>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</si>
  <si>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</si>
  <si>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</si>
  <si>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</si>
  <si>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</si>
  <si>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</si>
  <si>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</si>
  <si>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</si>
  <si>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</si>
  <si>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</si>
  <si>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</si>
  <si>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</si>
  <si>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</si>
  <si>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</si>
  <si>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</si>
  <si>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</si>
  <si>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</si>
  <si>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</si>
  <si>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</si>
  <si>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</si>
  <si>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</si>
  <si>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</si>
  <si>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</si>
  <si>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</si>
  <si>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</si>
  <si>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</si>
  <si>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</si>
  <si>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</si>
  <si>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</si>
  <si>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</si>
  <si>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</si>
  <si>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</si>
  <si>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</si>
  <si>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</si>
  <si>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</si>
  <si>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</si>
  <si>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</si>
  <si>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</si>
  <si>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</si>
  <si>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</si>
  <si>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</si>
  <si>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</si>
  <si>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</si>
  <si>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</si>
  <si>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</si>
  <si>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</si>
  <si>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</si>
  <si>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</si>
  <si>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</si>
  <si>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</si>
  <si>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</si>
  <si>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</si>
  <si>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</si>
  <si>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</si>
  <si>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</si>
  <si>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</si>
  <si>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</si>
  <si>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</si>
  <si>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</si>
  <si>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</si>
  <si>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</si>
  <si>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</si>
  <si>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</si>
  <si>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</si>
  <si>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</si>
  <si>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</si>
  <si>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</si>
  <si>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</si>
  <si>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</si>
  <si>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</si>
  <si>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</si>
  <si>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</si>
  <si>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</si>
  <si>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</si>
  <si>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</si>
  <si>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</si>
  <si>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</si>
  <si>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</si>
  <si>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</si>
  <si>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</si>
  <si>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</si>
  <si>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</si>
  <si>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</si>
  <si>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</si>
  <si>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</si>
  <si>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</si>
  <si>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</si>
  <si>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</si>
  <si>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</si>
  <si>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</si>
  <si>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</si>
  <si>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</si>
  <si>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</si>
  <si>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</si>
  <si>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</si>
  <si>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</si>
  <si>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</si>
  <si>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</si>
  <si>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</si>
  <si>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</si>
  <si>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</si>
  <si>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</si>
  <si>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</si>
  <si>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</si>
  <si>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</si>
  <si>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</si>
  <si>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</si>
  <si>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</si>
  <si>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</si>
  <si>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</si>
  <si>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</si>
  <si>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</si>
  <si>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</si>
  <si>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</si>
  <si>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</si>
  <si>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</si>
  <si>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</si>
  <si>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</si>
  <si>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</si>
  <si>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</si>
  <si>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</si>
  <si>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</si>
  <si>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</si>
  <si>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</si>
  <si>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</si>
  <si>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</si>
  <si>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</si>
  <si>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</si>
  <si>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</si>
  <si>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</si>
  <si>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</si>
  <si>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</si>
  <si>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</si>
  <si>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</si>
  <si>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</si>
  <si>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</si>
  <si>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</si>
  <si>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</si>
  <si>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</si>
  <si>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</si>
  <si>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</si>
  <si>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</si>
  <si>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</si>
  <si>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</si>
  <si>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</si>
  <si>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</si>
  <si>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</si>
  <si>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</si>
  <si>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</si>
  <si>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</si>
  <si>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</si>
  <si>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</si>
  <si>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</si>
  <si>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</si>
  <si>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</si>
  <si>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</si>
  <si>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</si>
  <si>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</si>
  <si>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</si>
  <si>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</si>
  <si>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</si>
  <si>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</si>
  <si>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</si>
  <si>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</si>
  <si>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</si>
  <si>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</si>
  <si>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</si>
  <si>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</si>
  <si>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</si>
  <si>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</si>
  <si>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</si>
  <si>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</si>
  <si>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</si>
  <si>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</si>
  <si>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</si>
  <si>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</si>
  <si>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</si>
  <si>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</si>
  <si>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</si>
  <si>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</si>
  <si>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</si>
  <si>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</si>
  <si>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</si>
  <si>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</si>
  <si>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</si>
  <si>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</si>
  <si>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</si>
  <si>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</si>
  <si>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</si>
  <si>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</si>
  <si>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</si>
  <si>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</si>
  <si>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</si>
  <si>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</si>
  <si>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</si>
  <si>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</si>
  <si>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</si>
  <si>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</si>
  <si>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</si>
  <si>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</si>
  <si>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</si>
  <si>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</si>
  <si>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</si>
  <si>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</si>
  <si>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</si>
  <si>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</si>
  <si>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</si>
  <si>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</si>
  <si>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</si>
  <si>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</si>
  <si>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</si>
  <si>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</si>
  <si>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</si>
  <si>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</si>
  <si>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</si>
  <si>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</si>
  <si>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</si>
  <si>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</si>
  <si>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</si>
  <si>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</si>
  <si>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</si>
  <si>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</si>
  <si>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</si>
  <si>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</si>
  <si>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</si>
  <si>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</si>
  <si>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</si>
  <si>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</si>
  <si>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</si>
  <si>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</si>
  <si>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</si>
  <si>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</si>
  <si>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</si>
  <si>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</si>
  <si>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</si>
  <si>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</si>
  <si>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</si>
  <si>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</si>
  <si>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</si>
  <si>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</si>
  <si>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</si>
  <si>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</si>
  <si>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</si>
  <si>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</si>
  <si>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</si>
  <si>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</si>
  <si>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</si>
  <si>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</si>
  <si>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</si>
  <si>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</si>
  <si>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</si>
  <si>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</si>
  <si>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</si>
  <si>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</si>
  <si>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</si>
  <si>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</si>
  <si>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</si>
  <si>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</si>
  <si>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</si>
  <si>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</si>
  <si>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</si>
  <si>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</si>
  <si>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</si>
  <si>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</si>
  <si>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</si>
  <si>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</si>
  <si>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</si>
  <si>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</si>
  <si>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</si>
  <si>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</si>
  <si>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</si>
  <si>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</si>
  <si>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</si>
  <si>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</si>
  <si>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</si>
  <si>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</si>
  <si>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</si>
  <si>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</si>
  <si>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</si>
  <si>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</si>
  <si>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</si>
  <si>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</si>
  <si>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</si>
  <si>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</si>
  <si>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</si>
  <si>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</si>
  <si>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</si>
  <si>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</si>
  <si>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</si>
  <si>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</si>
  <si>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</si>
  <si>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</si>
  <si>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</si>
  <si>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</si>
  <si>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</si>
  <si>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</si>
  <si>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</si>
  <si>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</si>
  <si>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</si>
  <si>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</si>
  <si>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</si>
  <si>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</si>
  <si>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</si>
  <si>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</si>
  <si>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</si>
  <si>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</si>
  <si>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</si>
  <si>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</si>
  <si>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</si>
  <si>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</si>
  <si>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</si>
  <si>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</si>
  <si>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</si>
  <si>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</si>
  <si>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</si>
  <si>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</si>
  <si>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</si>
  <si>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</si>
  <si>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</si>
  <si>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</si>
  <si>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</si>
  <si>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</si>
  <si>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</si>
  <si>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</si>
  <si>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</si>
  <si>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</si>
  <si>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</si>
  <si>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</si>
  <si>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</si>
  <si>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</si>
  <si>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</si>
  <si>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</si>
  <si>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</si>
  <si>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</si>
  <si>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</si>
  <si>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</si>
  <si>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</si>
  <si>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</si>
  <si>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</si>
  <si>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</si>
  <si>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</si>
  <si>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</si>
  <si>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</si>
  <si>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</si>
  <si>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</si>
  <si>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</si>
  <si>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</si>
  <si>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</si>
  <si>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</si>
  <si>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</si>
  <si>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</si>
  <si>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</si>
  <si>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</si>
  <si>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</si>
  <si>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</si>
  <si>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</si>
  <si>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</si>
  <si>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</si>
  <si>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</si>
  <si>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</si>
  <si>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</si>
  <si>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</si>
  <si>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</si>
  <si>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</si>
  <si>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</si>
  <si>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</si>
  <si>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</si>
  <si>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</si>
  <si>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</si>
  <si>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</si>
  <si>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</si>
  <si>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</si>
  <si>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</si>
  <si>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</si>
  <si>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</si>
  <si>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</si>
  <si>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</si>
  <si>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</si>
  <si>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</si>
  <si>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</si>
  <si>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</si>
  <si>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</si>
  <si>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</si>
  <si>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</si>
  <si>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</si>
  <si>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</si>
  <si>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</si>
  <si>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</si>
  <si>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</si>
  <si>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</si>
  <si>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</si>
  <si>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</si>
  <si>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</si>
  <si>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</si>
  <si>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</si>
  <si>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</si>
  <si>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</si>
  <si>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</si>
  <si>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</si>
  <si>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</si>
  <si>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</si>
  <si>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</si>
  <si>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</si>
  <si>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</si>
  <si>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</si>
  <si>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</si>
  <si>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</si>
  <si>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</si>
  <si>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</si>
  <si>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</si>
  <si>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</si>
  <si>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</si>
  <si>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</si>
  <si>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</si>
  <si>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</si>
  <si>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</si>
  <si>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</si>
  <si>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</si>
  <si>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</si>
  <si>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</si>
  <si>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</si>
  <si>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</si>
  <si>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</si>
  <si>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</si>
  <si>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</si>
  <si>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</si>
  <si>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</si>
  <si>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</si>
  <si>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</si>
  <si>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</si>
  <si>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</si>
  <si>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</si>
  <si>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</si>
  <si>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</si>
  <si>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</si>
  <si>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</si>
  <si>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</si>
  <si>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</si>
  <si>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</si>
  <si>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</si>
  <si>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</si>
  <si>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</si>
  <si>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</si>
  <si>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</si>
  <si>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</si>
  <si>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</si>
  <si>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</si>
  <si>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</si>
  <si>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</si>
  <si>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</si>
  <si>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</si>
  <si>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</si>
  <si>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</si>
  <si>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</si>
  <si>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</si>
  <si>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</si>
  <si>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</si>
  <si>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</si>
  <si>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</si>
  <si>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</si>
  <si>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</si>
  <si>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</si>
  <si>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</si>
  <si>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</si>
  <si>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</si>
  <si>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</si>
  <si>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</si>
  <si>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</si>
  <si>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</si>
  <si>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</si>
  <si>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</si>
  <si>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</si>
  <si>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</si>
  <si>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</si>
  <si>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</si>
  <si>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</si>
  <si>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</si>
  <si>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</si>
  <si>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</si>
  <si>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</si>
  <si>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</si>
  <si>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</si>
  <si>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</si>
  <si>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</si>
  <si>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</si>
  <si>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</si>
  <si>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</si>
  <si>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</si>
  <si>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</si>
  <si>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</si>
  <si>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</si>
  <si>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</si>
  <si>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</si>
  <si>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</si>
  <si>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</si>
  <si>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</si>
  <si>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</si>
  <si>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</si>
  <si>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</si>
  <si>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</si>
  <si>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</si>
  <si>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</si>
  <si>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</si>
  <si>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</si>
  <si>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</si>
  <si>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</si>
  <si>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</si>
  <si>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</si>
  <si>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</si>
  <si>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</si>
  <si>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</si>
  <si>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</si>
  <si>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</si>
  <si>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</si>
  <si>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</si>
  <si>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</si>
  <si>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</si>
  <si>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</si>
  <si>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</si>
  <si>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</si>
  <si>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</si>
  <si>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</si>
  <si>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</si>
  <si>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</si>
  <si>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</si>
  <si>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</si>
  <si>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</si>
  <si>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</si>
  <si>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</si>
  <si>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</si>
  <si>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</si>
  <si>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</si>
  <si>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</si>
  <si>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</si>
  <si>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</si>
  <si>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</si>
  <si>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</si>
  <si>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</si>
  <si>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</si>
  <si>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</si>
  <si>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</si>
  <si>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</si>
  <si>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</si>
  <si>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</si>
  <si>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</si>
  <si>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</si>
  <si>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</si>
  <si>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</si>
  <si>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</si>
  <si>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</si>
  <si>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</si>
  <si>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</si>
  <si>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</si>
  <si>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</si>
  <si>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</si>
  <si>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</si>
  <si>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</si>
  <si>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</si>
  <si>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</si>
  <si>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</si>
  <si>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</si>
  <si>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</si>
  <si>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</si>
  <si>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</si>
  <si>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</si>
  <si>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</si>
  <si>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</si>
  <si>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</si>
  <si>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</si>
  <si>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</si>
  <si>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</si>
  <si>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</si>
  <si>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</si>
  <si>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</si>
  <si>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</si>
  <si>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</si>
  <si>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</si>
  <si>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</si>
  <si>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</si>
  <si>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</si>
  <si>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</si>
  <si>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</si>
  <si>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</si>
  <si>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</si>
  <si>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</si>
  <si>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</si>
  <si>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</si>
  <si>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</si>
  <si>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</si>
  <si>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</si>
  <si>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</si>
  <si>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</si>
  <si>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</si>
  <si>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</si>
  <si>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</si>
  <si>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</si>
  <si>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</si>
  <si>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</si>
  <si>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</si>
  <si>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</si>
  <si>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</si>
  <si>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</si>
  <si>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</si>
  <si>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</si>
  <si>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</si>
  <si>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</si>
  <si>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</si>
  <si>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</si>
  <si>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</si>
  <si>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</si>
  <si>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</si>
  <si>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</si>
  <si>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</si>
  <si>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</si>
  <si>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</si>
  <si>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</si>
  <si>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</si>
  <si>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</si>
  <si>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</si>
  <si>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</si>
  <si>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</si>
  <si>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</si>
  <si>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</si>
  <si>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</si>
  <si>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</si>
  <si>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</si>
  <si>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</si>
  <si>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</si>
  <si>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</si>
  <si>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</si>
  <si>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</si>
  <si>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</si>
  <si>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</si>
  <si>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</si>
  <si>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</si>
  <si>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</si>
  <si>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</si>
  <si>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</si>
  <si>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</si>
  <si>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</si>
  <si>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</si>
  <si>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</si>
  <si>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</si>
  <si>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</si>
  <si>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</si>
  <si>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</si>
  <si>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</si>
  <si>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</si>
  <si>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</si>
  <si>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</si>
  <si>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</si>
  <si>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</si>
  <si>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</si>
  <si>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</si>
  <si>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</si>
  <si>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</si>
  <si>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</si>
  <si>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</si>
  <si>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</si>
  <si>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</si>
  <si>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</si>
  <si>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</si>
  <si>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</si>
  <si>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</si>
  <si>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</si>
  <si>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</si>
  <si>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</si>
  <si>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</si>
  <si>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</si>
  <si>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</si>
  <si>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</si>
  <si>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</si>
  <si>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</si>
  <si>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</si>
  <si>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</si>
  <si>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</si>
  <si>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</si>
  <si>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</si>
  <si>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</si>
  <si>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</si>
  <si>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</si>
  <si>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</si>
  <si>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</si>
  <si>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</si>
  <si>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</si>
  <si>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</si>
  <si>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</si>
  <si>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</si>
  <si>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</si>
  <si>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</si>
  <si>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</si>
  <si>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</si>
  <si>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</si>
  <si>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</si>
  <si>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</si>
  <si>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</si>
  <si>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</si>
  <si>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</si>
  <si>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</si>
  <si>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</si>
  <si>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</si>
  <si>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</si>
  <si>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</si>
  <si>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</si>
  <si>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</si>
  <si>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</si>
  <si>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</si>
  <si>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</si>
  <si>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</si>
  <si>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</si>
  <si>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</si>
  <si>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</si>
  <si>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</si>
  <si>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</si>
  <si>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</si>
  <si>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</si>
  <si>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</si>
  <si>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</si>
  <si>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</si>
  <si>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</si>
  <si>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</si>
  <si>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</si>
  <si>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</si>
  <si>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</si>
  <si>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</si>
  <si>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</si>
  <si>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</si>
  <si>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</si>
  <si>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</si>
  <si>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</si>
  <si>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</si>
  <si>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</si>
  <si>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</si>
  <si>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</si>
  <si>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</si>
  <si>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</si>
  <si>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</si>
  <si>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</si>
  <si>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</si>
  <si>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</si>
  <si>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</si>
  <si>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</si>
  <si>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</si>
  <si>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</si>
  <si>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</si>
  <si>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</si>
  <si>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</si>
  <si>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</si>
  <si>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</si>
  <si>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</si>
  <si>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</si>
  <si>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</si>
  <si>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</si>
  <si>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</si>
  <si>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</si>
  <si>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</si>
  <si>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</si>
  <si>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</si>
  <si>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</si>
  <si>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</si>
  <si>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</si>
  <si>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</si>
  <si>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</si>
  <si>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</si>
  <si>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</si>
  <si>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</si>
  <si>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</si>
  <si>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</si>
  <si>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</si>
  <si>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</si>
  <si>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</si>
  <si>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</si>
  <si>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</si>
  <si>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</si>
  <si>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</si>
  <si>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</si>
  <si>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</si>
  <si>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</si>
  <si>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</si>
  <si>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</si>
  <si>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</si>
  <si>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</si>
  <si>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</si>
  <si>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</si>
  <si>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</si>
  <si>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</si>
  <si>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</si>
  <si>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</si>
  <si>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</si>
  <si>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</si>
  <si>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</si>
  <si>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</si>
  <si>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</si>
  <si>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</si>
  <si>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</si>
  <si>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</si>
  <si>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</si>
  <si>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</si>
  <si>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</si>
  <si>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</si>
  <si>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</si>
  <si>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</si>
  <si>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</si>
  <si>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</si>
  <si>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</si>
  <si>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</si>
  <si>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</si>
  <si>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</si>
  <si>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</si>
  <si>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</si>
  <si>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</si>
  <si>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</si>
  <si>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</si>
  <si>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</si>
  <si>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</si>
  <si>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</si>
  <si>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</si>
  <si>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</si>
  <si>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</si>
  <si>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</si>
  <si>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</si>
  <si>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</si>
  <si>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</si>
  <si>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</si>
  <si>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</si>
  <si>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</si>
  <si>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</si>
  <si>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</si>
  <si>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</si>
  <si>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</si>
  <si>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</si>
  <si>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</si>
  <si>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</si>
  <si>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</si>
  <si>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</si>
  <si>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</si>
  <si>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</si>
  <si>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</si>
  <si>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</si>
  <si>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</si>
  <si>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</si>
  <si>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</si>
  <si>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</si>
  <si>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</si>
  <si>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</si>
  <si>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</si>
  <si>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</si>
  <si>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</si>
  <si>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</si>
  <si>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</si>
  <si>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</si>
  <si>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</si>
  <si>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</si>
  <si>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</si>
  <si>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</si>
  <si>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</si>
  <si>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</si>
  <si>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</si>
  <si>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</si>
  <si>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</si>
  <si>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</si>
  <si>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</si>
  <si>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</si>
  <si>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</si>
  <si>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</si>
  <si>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</si>
  <si>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</si>
  <si>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</si>
  <si>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</si>
  <si>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</si>
  <si>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</si>
  <si>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</si>
  <si>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</si>
  <si>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</si>
  <si>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</si>
  <si>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</si>
  <si>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</si>
  <si>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</si>
  <si>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</si>
  <si>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</si>
  <si>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</si>
  <si>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</si>
  <si>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</si>
  <si>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</si>
  <si>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</si>
  <si>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</si>
  <si>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</si>
  <si>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</si>
  <si>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</si>
  <si>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</si>
  <si>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</si>
  <si>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</si>
  <si>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</si>
  <si>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</si>
  <si>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</si>
  <si>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</si>
  <si>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</si>
  <si>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</si>
  <si>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</si>
  <si>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</si>
  <si>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</si>
  <si>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</si>
  <si>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</si>
  <si>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</si>
  <si>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</si>
  <si>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</si>
  <si>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</si>
  <si>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</si>
  <si>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</si>
  <si>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</si>
  <si>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</si>
  <si>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</si>
  <si>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</si>
  <si>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</si>
  <si>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</si>
  <si>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</si>
  <si>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</si>
  <si>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</si>
  <si>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</si>
  <si>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</si>
  <si>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</si>
  <si>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</si>
  <si>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</si>
  <si>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</si>
  <si>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</si>
  <si>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</si>
  <si>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</si>
  <si>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</si>
  <si>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</si>
  <si>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</si>
  <si>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</si>
  <si>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</si>
  <si>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</si>
  <si>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</si>
  <si>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</si>
  <si>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</si>
  <si>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</si>
  <si>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</si>
  <si>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</si>
  <si>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</si>
  <si>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</si>
  <si>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</si>
  <si>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</si>
  <si>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</si>
  <si>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</si>
  <si>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</si>
  <si>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</si>
  <si>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</si>
  <si>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</si>
  <si>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</si>
  <si>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</si>
  <si>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</si>
  <si>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</si>
  <si>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</si>
  <si>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</si>
  <si>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</si>
  <si>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</si>
  <si>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</si>
  <si>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</si>
  <si>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</si>
  <si>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</si>
  <si>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</si>
  <si>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</si>
  <si>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</si>
  <si>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</si>
  <si>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</si>
  <si>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</si>
  <si>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</si>
  <si>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</si>
  <si>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</si>
  <si>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</si>
  <si>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</si>
  <si>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</si>
  <si>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</si>
  <si>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</si>
  <si>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</si>
  <si>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</si>
  <si>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</si>
  <si>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</si>
  <si>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</si>
  <si>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</si>
  <si>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</si>
  <si>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</si>
  <si>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</si>
  <si>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</si>
  <si>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</si>
  <si>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</si>
  <si>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</si>
  <si>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</si>
  <si>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</si>
  <si>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</si>
  <si>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</si>
  <si>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</si>
  <si>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</si>
  <si>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</si>
  <si>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</si>
  <si>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</si>
  <si>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</si>
  <si>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</si>
  <si>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</si>
  <si>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</si>
  <si>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</si>
  <si>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</si>
  <si>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</si>
  <si>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</si>
  <si>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</si>
  <si>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</si>
  <si>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</si>
  <si>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</si>
  <si>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</si>
  <si>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</si>
  <si>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</si>
  <si>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</si>
  <si>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</si>
  <si>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</si>
  <si>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</si>
  <si>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</si>
  <si>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</si>
  <si>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</si>
  <si>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</si>
  <si>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</si>
  <si>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</si>
  <si>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</si>
  <si>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</si>
  <si>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</si>
  <si>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</si>
  <si>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</si>
  <si>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</si>
  <si>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</si>
  <si>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</si>
  <si>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</si>
  <si>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</si>
  <si>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</si>
  <si>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</si>
  <si>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</si>
  <si>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</si>
  <si>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</si>
  <si>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</si>
  <si>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</si>
  <si>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</si>
  <si>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</si>
  <si>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</si>
  <si>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</si>
  <si>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</si>
  <si>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</si>
  <si>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</si>
  <si>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</si>
  <si>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</si>
  <si>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</si>
  <si>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</si>
  <si>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</si>
  <si>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</si>
  <si>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</si>
  <si>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</si>
  <si>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</si>
  <si>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</si>
  <si>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</si>
  <si>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</si>
  <si>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</si>
  <si>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</si>
  <si>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</si>
  <si>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</si>
  <si>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</si>
  <si>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</si>
  <si>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</si>
  <si>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</si>
  <si>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</si>
  <si>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</si>
  <si>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</si>
  <si>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</si>
  <si>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</si>
  <si>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</si>
  <si>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</si>
  <si>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</si>
  <si>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</si>
  <si>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</si>
  <si>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</si>
  <si>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</si>
  <si>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</si>
  <si>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</si>
  <si>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</si>
  <si>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</si>
  <si>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</si>
  <si>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</si>
  <si>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</si>
  <si>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</si>
  <si>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</si>
  <si>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</si>
  <si>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</si>
  <si>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</si>
  <si>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</si>
  <si>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</si>
  <si>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</si>
  <si>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</si>
  <si>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</si>
  <si>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</si>
  <si>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</si>
  <si>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</si>
  <si>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</si>
  <si>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</si>
  <si>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</si>
  <si>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</si>
  <si>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</si>
  <si>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</si>
  <si>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</si>
  <si>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</si>
  <si>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</si>
  <si>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</si>
  <si>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</si>
  <si>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</si>
  <si>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</si>
  <si>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</si>
  <si>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</si>
  <si>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</si>
  <si>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</si>
  <si>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</si>
  <si>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</si>
  <si>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</si>
  <si>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</si>
  <si>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</si>
  <si>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</si>
  <si>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</si>
  <si>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</si>
  <si>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</si>
  <si>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</si>
  <si>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</si>
  <si>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</si>
  <si>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</si>
  <si>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</si>
  <si>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</si>
  <si>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</si>
  <si>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</si>
  <si>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</si>
  <si>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</si>
  <si>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</si>
  <si>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</si>
  <si>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</si>
  <si>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</si>
  <si>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</si>
  <si>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</si>
  <si>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</si>
  <si>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</si>
  <si>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</si>
  <si>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</si>
  <si>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</si>
  <si>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</si>
  <si>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</si>
  <si>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</si>
  <si>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</si>
  <si>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</si>
  <si>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</si>
  <si>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</si>
  <si>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</si>
  <si>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</si>
  <si>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</si>
  <si>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</si>
  <si>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</si>
  <si>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</si>
  <si>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</si>
  <si>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</si>
  <si>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</si>
  <si>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</si>
  <si>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</si>
  <si>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</si>
  <si>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</si>
  <si>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</si>
  <si>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</si>
  <si>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</si>
  <si>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</si>
  <si>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</si>
  <si>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</si>
  <si>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</si>
  <si>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</si>
  <si>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</si>
  <si>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</si>
  <si>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</si>
  <si>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</si>
  <si>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</si>
  <si>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</si>
  <si>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</si>
  <si>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</si>
  <si>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</si>
  <si>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</si>
  <si>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</si>
  <si>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</si>
  <si>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</si>
  <si>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</si>
  <si>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</si>
  <si>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</si>
  <si>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</si>
  <si>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</si>
  <si>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</si>
  <si>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</si>
  <si>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</si>
  <si>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</si>
  <si>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</si>
  <si>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</si>
  <si>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</si>
  <si>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</si>
  <si>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</si>
  <si>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</si>
  <si>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</si>
  <si>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</si>
  <si>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</si>
  <si>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</si>
  <si>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</si>
  <si>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</si>
  <si>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</si>
  <si>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</si>
  <si>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</si>
  <si>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</si>
  <si>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</si>
  <si>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</si>
  <si>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</si>
  <si>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</si>
  <si>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</si>
  <si>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</si>
  <si>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</si>
  <si>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</si>
  <si>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</si>
  <si>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</si>
  <si>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</si>
  <si>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</si>
  <si>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</si>
  <si>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</si>
  <si>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</si>
  <si>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</si>
  <si>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</si>
  <si>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</si>
  <si>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</si>
  <si>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</si>
  <si>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</si>
  <si>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</si>
  <si>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</si>
  <si>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</si>
  <si>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</si>
  <si>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</si>
  <si>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</si>
  <si>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</si>
  <si>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</si>
  <si>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</si>
  <si>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</si>
  <si>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</si>
  <si>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</si>
  <si>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</si>
  <si>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</si>
  <si>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</si>
  <si>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</si>
  <si>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</si>
  <si>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</si>
  <si>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</si>
  <si>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</si>
  <si>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</si>
  <si>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</si>
  <si>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</si>
  <si>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</si>
  <si>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</si>
  <si>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</si>
  <si>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</si>
  <si>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</si>
  <si>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</si>
  <si>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</si>
  <si>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</si>
  <si>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</si>
  <si>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</si>
  <si>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</si>
  <si>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</si>
  <si>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</si>
  <si>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</si>
  <si>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</si>
  <si>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</si>
  <si>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</si>
  <si>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</si>
  <si>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</si>
  <si>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</si>
  <si>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</si>
  <si>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</si>
  <si>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</si>
  <si>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</si>
  <si>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</si>
  <si>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</si>
  <si>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</si>
  <si>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</si>
  <si>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</si>
  <si>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</si>
  <si>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</si>
  <si>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</si>
  <si>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</si>
  <si>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</si>
  <si>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</si>
  <si>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</si>
  <si>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</si>
  <si>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</si>
  <si>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</si>
  <si>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</si>
  <si>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</si>
  <si>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</si>
  <si>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</si>
  <si>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</si>
  <si>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</si>
  <si>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</si>
  <si>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</si>
  <si>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</si>
  <si>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</si>
  <si>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</si>
  <si>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</si>
  <si>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</si>
  <si>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</si>
  <si>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</si>
  <si>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</si>
  <si>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</si>
  <si>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</si>
  <si>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</si>
  <si>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</si>
  <si>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</si>
  <si>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</si>
  <si>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</si>
  <si>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</si>
  <si>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</si>
  <si>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</si>
  <si>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</si>
  <si>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</si>
  <si>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</si>
  <si>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</si>
  <si>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</si>
  <si>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</si>
  <si>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</si>
  <si>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</si>
  <si>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</si>
  <si>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</si>
  <si>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</si>
  <si>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</si>
  <si>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</si>
  <si>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</si>
  <si>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</si>
  <si>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</si>
  <si>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</si>
  <si>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</si>
  <si>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</si>
  <si>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</si>
  <si>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</si>
  <si>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</si>
  <si>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</si>
  <si>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</si>
  <si>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</si>
  <si>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</si>
  <si>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</si>
  <si>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</si>
  <si>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</si>
  <si>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</si>
  <si>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</si>
  <si>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</si>
  <si>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</si>
  <si>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</si>
  <si>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</si>
  <si>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</si>
  <si>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</si>
  <si>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</si>
  <si>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</si>
  <si>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</si>
  <si>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</si>
  <si>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</si>
  <si>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</si>
  <si>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</si>
  <si>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</si>
  <si>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</si>
  <si>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</si>
  <si>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</si>
  <si>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</si>
  <si>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</si>
  <si>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</si>
  <si>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</si>
  <si>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</si>
  <si>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</si>
  <si>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</si>
  <si>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</si>
  <si>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</si>
  <si>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</si>
  <si>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</si>
  <si>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</si>
  <si>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</si>
  <si>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</si>
  <si>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</si>
  <si>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</si>
  <si>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</si>
  <si>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</si>
  <si>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</si>
  <si>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</si>
  <si>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</si>
  <si>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</si>
  <si>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</si>
  <si>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</si>
  <si>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</si>
  <si>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</si>
  <si>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</si>
  <si>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</si>
  <si>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</si>
  <si>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</si>
  <si>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</si>
  <si>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</si>
  <si>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</si>
  <si>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</si>
  <si>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</si>
  <si>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</si>
  <si>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</si>
  <si>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</si>
  <si>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</si>
  <si>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</si>
  <si>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</si>
  <si>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</si>
  <si>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</si>
  <si>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</si>
  <si>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</si>
  <si>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</si>
  <si>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</si>
  <si>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</si>
  <si>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</si>
  <si>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</si>
  <si>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</si>
  <si>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</si>
  <si>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</si>
  <si>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</si>
  <si>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</si>
  <si>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</si>
  <si>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</si>
  <si>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</si>
  <si>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</si>
  <si>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</si>
  <si>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</si>
  <si>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</si>
  <si>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</si>
  <si>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</si>
  <si>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</si>
  <si>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</si>
  <si>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</si>
  <si>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</si>
  <si>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</si>
  <si>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</si>
  <si>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</si>
  <si>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</si>
  <si>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</si>
  <si>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</si>
  <si>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</si>
  <si>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</si>
  <si>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</si>
  <si>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</si>
  <si>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</si>
  <si>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</si>
  <si>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</si>
  <si>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</si>
  <si>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</si>
  <si>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</si>
  <si>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</si>
  <si>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</si>
  <si>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</si>
  <si>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</si>
  <si>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</si>
  <si>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</si>
  <si>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</si>
  <si>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</si>
  <si>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</si>
  <si>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</si>
  <si>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</si>
  <si>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</si>
  <si>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</si>
  <si>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</si>
  <si>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</si>
  <si>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</si>
  <si>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</si>
  <si>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</si>
  <si>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</si>
  <si>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</si>
  <si>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</si>
  <si>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</si>
  <si>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</si>
  <si>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</si>
  <si>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</si>
  <si>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</si>
  <si>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</si>
  <si>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</si>
  <si>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</si>
  <si>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</si>
  <si>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</si>
  <si>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</si>
  <si>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</si>
  <si>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</si>
  <si>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</si>
  <si>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</si>
  <si>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</si>
  <si>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</si>
  <si>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</si>
  <si>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</si>
  <si>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</si>
  <si>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</si>
  <si>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</si>
  <si>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</si>
  <si>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</si>
  <si>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</si>
  <si>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</si>
  <si>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</si>
  <si>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</si>
  <si>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</si>
  <si>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</si>
  <si>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</si>
  <si>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</si>
  <si>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</si>
  <si>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</si>
  <si>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</si>
  <si>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</si>
  <si>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</si>
  <si>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</si>
  <si>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</si>
  <si>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</si>
  <si>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</si>
  <si>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</si>
  <si>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</si>
  <si>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</si>
  <si>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</si>
  <si>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</si>
  <si>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</si>
  <si>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</si>
  <si>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</si>
  <si>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</si>
  <si>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</si>
  <si>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</si>
  <si>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</si>
  <si>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</si>
  <si>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</si>
  <si>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</si>
  <si>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</si>
  <si>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</si>
  <si>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</si>
  <si>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</si>
  <si>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</si>
  <si>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</si>
  <si>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</si>
  <si>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</si>
  <si>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</si>
  <si>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</si>
  <si>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</si>
  <si>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</si>
  <si>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</si>
  <si>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</si>
  <si>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</si>
  <si>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</si>
  <si>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</si>
  <si>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</si>
  <si>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</si>
  <si>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</si>
  <si>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</si>
  <si>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</si>
  <si>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</si>
  <si>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</si>
  <si>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</si>
  <si>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</si>
  <si>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</si>
  <si>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</si>
  <si>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</si>
  <si>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</si>
  <si>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</si>
  <si>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</si>
  <si>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</si>
  <si>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</si>
  <si>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</si>
  <si>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</si>
  <si>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</si>
  <si>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</si>
  <si>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</si>
  <si>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</si>
  <si>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</si>
  <si>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</si>
  <si>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</si>
  <si>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</si>
  <si>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</si>
  <si>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</si>
  <si>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</si>
  <si>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</si>
  <si>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</si>
  <si>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</si>
  <si>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</si>
  <si>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</si>
  <si>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</si>
  <si>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</si>
  <si>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</si>
  <si>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</si>
  <si>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</si>
  <si>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</si>
  <si>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</si>
  <si>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</si>
  <si>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</si>
  <si>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</si>
  <si>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</si>
  <si>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</si>
  <si>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</si>
  <si>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</si>
  <si>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</si>
  <si>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</si>
  <si>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</si>
  <si>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</si>
  <si>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</si>
  <si>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</si>
  <si>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</si>
  <si>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</si>
  <si>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</si>
  <si>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</si>
  <si>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</si>
  <si>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</si>
  <si>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</si>
  <si>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</si>
  <si>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</si>
  <si>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</si>
  <si>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</si>
  <si>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</si>
  <si>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</si>
  <si>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</si>
  <si>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</si>
  <si>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</si>
  <si>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</si>
  <si>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</si>
  <si>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</si>
  <si>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</si>
  <si>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</si>
  <si>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</si>
  <si>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</si>
  <si>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</si>
  <si>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</si>
  <si>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</si>
  <si>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</si>
  <si>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</si>
  <si>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</si>
  <si>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</si>
  <si>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</si>
  <si>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</si>
  <si>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</si>
  <si>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</si>
  <si>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</si>
  <si>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</si>
  <si>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</si>
  <si>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</si>
  <si>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</si>
  <si>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</si>
  <si>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</si>
  <si>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</si>
  <si>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</si>
  <si>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</si>
  <si>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</si>
  <si>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</si>
  <si>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</si>
  <si>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</si>
  <si>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</si>
  <si>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</si>
  <si>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</si>
  <si>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</si>
  <si>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</si>
  <si>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</si>
  <si>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</si>
  <si>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</si>
  <si>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</si>
  <si>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</si>
  <si>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</si>
  <si>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</si>
  <si>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</si>
  <si>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</si>
  <si>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</si>
  <si>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</si>
  <si>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</si>
  <si>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</si>
  <si>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</si>
  <si>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</si>
  <si>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</si>
  <si>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</si>
  <si>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</si>
  <si>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</si>
  <si>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</si>
  <si>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</si>
  <si>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</si>
  <si>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</si>
  <si>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</si>
  <si>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</si>
  <si>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</si>
  <si>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</si>
  <si>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</si>
  <si>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</si>
  <si>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</si>
  <si>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</si>
  <si>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</si>
  <si>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</si>
  <si>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</si>
  <si>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</si>
  <si>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</si>
  <si>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</si>
  <si>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</si>
  <si>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</si>
  <si>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</si>
  <si>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</si>
  <si>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</si>
  <si>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</si>
  <si>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</si>
  <si>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</si>
  <si>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</si>
  <si>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</si>
  <si>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</si>
  <si>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</si>
  <si>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</si>
  <si>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</si>
  <si>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</si>
  <si>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</si>
  <si>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</si>
  <si>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</si>
  <si>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</si>
  <si>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</si>
  <si>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</si>
  <si>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</si>
  <si>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</si>
  <si>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</si>
  <si>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</si>
  <si>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</si>
  <si>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</si>
  <si>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</si>
  <si>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</si>
  <si>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</si>
  <si>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</si>
  <si>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</si>
  <si>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</si>
  <si>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</si>
  <si>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</si>
  <si>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</si>
  <si>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</si>
  <si>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</si>
  <si>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</si>
  <si>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</si>
  <si>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</si>
  <si>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</si>
  <si>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</si>
  <si>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</si>
  <si>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</si>
  <si>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</si>
  <si>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</si>
  <si>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</si>
  <si>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</si>
  <si>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</si>
  <si>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</si>
  <si>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</si>
  <si>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</si>
  <si>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</si>
  <si>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</si>
  <si>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</si>
  <si>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</si>
  <si>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</si>
  <si>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</si>
  <si>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</si>
  <si>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</si>
  <si>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</si>
  <si>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</si>
  <si>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</si>
  <si>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</si>
  <si>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</si>
  <si>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</si>
  <si>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</si>
  <si>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</si>
  <si>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</si>
  <si>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</si>
  <si>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</si>
  <si>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</si>
  <si>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</si>
  <si>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</si>
  <si>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</si>
  <si>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</si>
  <si>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</si>
  <si>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</si>
  <si>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</si>
  <si>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</si>
  <si>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</si>
  <si>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</si>
  <si>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</si>
  <si>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</si>
  <si>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</si>
  <si>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</si>
  <si>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</si>
  <si>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</si>
  <si>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</si>
  <si>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</si>
  <si>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</si>
  <si>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</si>
  <si>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</si>
  <si>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</si>
  <si>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</si>
  <si>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</si>
  <si>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</si>
  <si>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</si>
  <si>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</si>
  <si>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</si>
  <si>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</si>
  <si>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</si>
  <si>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</si>
  <si>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</si>
  <si>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</si>
  <si>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</si>
  <si>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</si>
  <si>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</si>
  <si>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</si>
  <si>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</si>
  <si>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</si>
  <si>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</si>
  <si>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</si>
  <si>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</si>
  <si>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</si>
  <si>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</si>
  <si>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</si>
  <si>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</si>
  <si>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</si>
  <si>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</si>
  <si>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</si>
  <si>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</si>
  <si>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</si>
  <si>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</si>
  <si>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</si>
  <si>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</si>
  <si>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</si>
  <si>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</si>
  <si>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</si>
  <si>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</si>
  <si>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</si>
  <si>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</si>
  <si>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</si>
  <si>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</si>
  <si>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</si>
  <si>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</si>
  <si>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</si>
  <si>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</si>
  <si>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</si>
  <si>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</si>
  <si>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</si>
  <si>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</si>
  <si>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</si>
  <si>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</si>
  <si>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</si>
  <si>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</si>
  <si>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</si>
  <si>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</si>
  <si>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</si>
  <si>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</si>
  <si>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</si>
  <si>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</si>
  <si>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</si>
  <si>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</si>
  <si>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</si>
  <si>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</si>
  <si>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</si>
  <si>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</si>
  <si>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</si>
  <si>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</si>
  <si>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</si>
  <si>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</si>
  <si>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</si>
  <si>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</si>
  <si>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</si>
  <si>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</si>
  <si>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</si>
  <si>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</si>
  <si>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</si>
  <si>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</si>
  <si>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</si>
  <si>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</si>
  <si>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</si>
  <si>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</si>
  <si>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</si>
  <si>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</si>
  <si>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</si>
  <si>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</si>
  <si>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</si>
  <si>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</si>
  <si>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</si>
  <si>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</si>
  <si>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</si>
  <si>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</si>
  <si>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</si>
  <si>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</si>
  <si>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</si>
  <si>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</si>
  <si>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</si>
  <si>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</si>
  <si>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</si>
  <si>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</si>
  <si>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</si>
  <si>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</si>
  <si>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</si>
  <si>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</si>
  <si>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</si>
  <si>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</si>
  <si>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</si>
  <si>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</si>
  <si>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</si>
  <si>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</si>
  <si>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</si>
  <si>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</si>
  <si>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</si>
  <si>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</si>
  <si>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</si>
  <si>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</si>
  <si>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</si>
  <si>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</si>
  <si>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</si>
  <si>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</si>
  <si>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</si>
  <si>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</si>
  <si>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</si>
  <si>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</si>
  <si>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</si>
  <si>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</si>
  <si>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</si>
  <si>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</si>
  <si>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</si>
  <si>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</si>
  <si>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</si>
  <si>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</si>
  <si>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</si>
  <si>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</si>
  <si>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</si>
  <si>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</si>
  <si>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</si>
  <si>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</si>
  <si>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</si>
  <si>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</si>
  <si>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</si>
  <si>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</si>
  <si>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</si>
  <si>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</si>
  <si>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</si>
  <si>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</si>
  <si>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</si>
  <si>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</si>
  <si>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</si>
  <si>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</si>
  <si>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</si>
  <si>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</si>
  <si>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</si>
  <si>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</si>
  <si>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</si>
  <si>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</si>
  <si>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</si>
  <si>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</si>
  <si>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</si>
  <si>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</si>
  <si>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</si>
  <si>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</si>
  <si>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</si>
  <si>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</si>
  <si>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</si>
  <si>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</si>
  <si>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</si>
  <si>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</si>
  <si>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</si>
  <si>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</si>
  <si>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</si>
  <si>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</si>
  <si>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</si>
  <si>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</si>
  <si>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</si>
  <si>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</si>
  <si>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</si>
  <si>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</si>
  <si>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</si>
  <si>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</si>
  <si>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</si>
  <si>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</si>
  <si>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</si>
  <si>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</si>
  <si>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</si>
  <si>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</si>
  <si>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</si>
  <si>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</si>
  <si>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</si>
  <si>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</si>
  <si>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</si>
  <si>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</si>
  <si>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</si>
  <si>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</si>
  <si>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</si>
  <si>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</si>
  <si>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</si>
  <si>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</si>
  <si>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</si>
  <si>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</si>
  <si>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</si>
  <si>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</si>
  <si>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</si>
  <si>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</si>
  <si>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</si>
  <si>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</si>
  <si>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</si>
  <si>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</si>
  <si>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</si>
  <si>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</si>
  <si>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</si>
  <si>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</si>
  <si>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</si>
  <si>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</si>
  <si>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</si>
  <si>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</si>
  <si>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</si>
  <si>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</si>
  <si>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</si>
  <si>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</si>
  <si>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</si>
  <si>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</si>
  <si>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</si>
  <si>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</si>
  <si>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</si>
  <si>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</si>
  <si>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</si>
  <si>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</si>
  <si>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</si>
  <si>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</si>
  <si>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</si>
  <si>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</si>
  <si>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</si>
  <si>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</si>
  <si>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</si>
  <si>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</si>
  <si>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</si>
  <si>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</si>
  <si>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</si>
  <si>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</si>
  <si>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</si>
  <si>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</si>
  <si>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</si>
  <si>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</si>
  <si>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</si>
  <si>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</si>
  <si>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</si>
  <si>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</si>
  <si>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</si>
  <si>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</si>
  <si>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</si>
  <si>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</si>
  <si>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</si>
  <si>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</si>
  <si>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</si>
  <si>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</si>
  <si>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</si>
  <si>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</si>
  <si>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</si>
  <si>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</si>
  <si>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</si>
  <si>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</si>
  <si>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</si>
  <si>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</si>
  <si>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</si>
  <si>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</si>
  <si>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</si>
  <si>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</si>
  <si>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</si>
  <si>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</si>
  <si>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</si>
  <si>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</si>
  <si>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</si>
  <si>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</si>
  <si>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</si>
  <si>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</si>
  <si>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</si>
  <si>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</si>
  <si>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</si>
  <si>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</si>
  <si>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</si>
  <si>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</si>
  <si>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</si>
  <si>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</si>
  <si>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</si>
  <si>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</si>
  <si>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</si>
  <si>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</si>
  <si>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</si>
  <si>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</si>
  <si>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</si>
  <si>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</si>
  <si>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</si>
  <si>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</si>
  <si>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</si>
  <si>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</si>
  <si>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</si>
  <si>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</si>
  <si>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</si>
  <si>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</si>
  <si>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</si>
  <si>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</si>
  <si>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</si>
  <si>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</si>
  <si>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</si>
  <si>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</si>
  <si>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</si>
  <si>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</si>
  <si>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</si>
  <si>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</si>
  <si>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</si>
  <si>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</si>
  <si>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</si>
  <si>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</si>
  <si>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</si>
  <si>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</si>
  <si>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</si>
  <si>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</si>
  <si>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</si>
  <si>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</si>
  <si>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</si>
  <si>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</si>
  <si>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</si>
  <si>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</si>
  <si>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</si>
  <si>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</si>
  <si>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</si>
  <si>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</si>
  <si>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</si>
  <si>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</si>
  <si>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</si>
  <si>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</si>
  <si>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</si>
  <si>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</si>
  <si>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</si>
  <si>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</si>
  <si>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</si>
  <si>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</si>
  <si>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</si>
  <si>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</si>
  <si>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</si>
  <si>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</si>
  <si>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</si>
  <si>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</si>
  <si>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</si>
  <si>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</si>
  <si>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</si>
  <si>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</si>
  <si>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</si>
  <si>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</si>
  <si>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</si>
  <si>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</si>
  <si>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</si>
  <si>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</si>
  <si>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</si>
  <si>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</si>
  <si>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</si>
  <si>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</si>
  <si>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</si>
  <si>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</si>
  <si>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</si>
  <si>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</si>
  <si>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</si>
  <si>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</si>
  <si>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</si>
  <si>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</si>
  <si>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</si>
  <si>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</si>
  <si>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</si>
  <si>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</si>
  <si>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</si>
  <si>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</si>
  <si>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</si>
  <si>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</si>
  <si>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</si>
  <si>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</si>
  <si>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</si>
  <si>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</si>
  <si>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</si>
  <si>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</si>
  <si>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</si>
  <si>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</si>
  <si>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</si>
  <si>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</si>
  <si>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</si>
  <si>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</si>
  <si>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</si>
  <si>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</si>
  <si>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</si>
  <si>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</si>
  <si>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</si>
  <si>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</si>
  <si>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</si>
  <si>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</si>
  <si>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</si>
  <si>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</si>
  <si>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</si>
  <si>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</si>
  <si>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</si>
  <si>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</si>
  <si>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</si>
  <si>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</si>
  <si>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</si>
  <si>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</si>
  <si>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</si>
  <si>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</si>
  <si>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</si>
  <si>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</si>
  <si>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</si>
  <si>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</si>
  <si>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</si>
  <si>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</si>
  <si>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</si>
  <si>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</si>
  <si>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</si>
  <si>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</si>
  <si>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</si>
  <si>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</si>
  <si>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</si>
  <si>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</si>
  <si>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</si>
  <si>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</si>
  <si>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</si>
  <si>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</si>
  <si>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</si>
  <si>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</si>
  <si>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</si>
  <si>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</si>
  <si>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</si>
  <si>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</si>
  <si>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</si>
  <si>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</si>
  <si>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</si>
  <si>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</si>
  <si>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</si>
  <si>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</si>
  <si>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</si>
  <si>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</si>
  <si>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</si>
  <si>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</si>
  <si>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</si>
  <si>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</si>
  <si>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</si>
  <si>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</si>
  <si>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</si>
  <si>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</si>
  <si>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</si>
  <si>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</si>
  <si>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</si>
  <si>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</si>
  <si>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</si>
  <si>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</si>
  <si>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</si>
  <si>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</si>
  <si>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</si>
  <si>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</si>
  <si>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</si>
  <si>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</si>
  <si>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</si>
  <si>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</si>
  <si>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</si>
  <si>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</si>
  <si>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</si>
  <si>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</si>
  <si>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</si>
  <si>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</si>
  <si>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</si>
  <si>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</si>
  <si>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</si>
  <si>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</si>
  <si>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</si>
  <si>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</si>
  <si>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</si>
  <si>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</si>
  <si>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</si>
  <si>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</si>
  <si>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</si>
  <si>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</si>
  <si>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</si>
  <si>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</si>
  <si>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</si>
  <si>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</si>
  <si>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</si>
  <si>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</si>
  <si>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</si>
  <si>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</si>
  <si>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</si>
  <si>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</si>
  <si>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</si>
  <si>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</si>
  <si>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</si>
  <si>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</si>
  <si>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</si>
  <si>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</si>
  <si>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</si>
  <si>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</si>
  <si>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</si>
  <si>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</si>
  <si>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</si>
  <si>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</si>
  <si>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</si>
  <si>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</si>
  <si>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</si>
  <si>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</si>
  <si>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</si>
  <si>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</si>
  <si>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</si>
  <si>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</si>
  <si>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</si>
  <si>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</si>
  <si>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</si>
  <si>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</si>
  <si>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</si>
  <si>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</si>
  <si>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</si>
  <si>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</si>
  <si>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</si>
  <si>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</si>
  <si>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</si>
  <si>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</si>
  <si>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</si>
  <si>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</si>
  <si>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</si>
  <si>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</si>
  <si>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</si>
  <si>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</si>
  <si>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</si>
  <si>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</si>
  <si>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</si>
  <si>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</si>
  <si>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</si>
  <si>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</si>
  <si>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</si>
  <si>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</si>
  <si>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</si>
  <si>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</si>
  <si>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</si>
  <si>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</si>
  <si>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</si>
  <si>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</si>
  <si>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</si>
  <si>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</si>
  <si>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</si>
  <si>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</si>
  <si>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</si>
  <si>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</si>
  <si>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</si>
  <si>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</si>
  <si>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</si>
  <si>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</si>
  <si>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</si>
  <si>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</si>
  <si>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</si>
  <si>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</si>
  <si>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</si>
  <si>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</si>
  <si>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</si>
  <si>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</si>
  <si>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</si>
  <si>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</si>
  <si>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</si>
  <si>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</si>
  <si>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</si>
  <si>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</si>
  <si>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</si>
  <si>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</si>
  <si>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</si>
  <si>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</si>
  <si>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</si>
  <si>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</si>
  <si>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</si>
  <si>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</si>
  <si>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</si>
  <si>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</si>
  <si>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</si>
  <si>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</si>
  <si>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</si>
  <si>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</si>
  <si>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</si>
  <si>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</si>
  <si>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</si>
  <si>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</si>
  <si>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</si>
  <si>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</si>
  <si>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</si>
  <si>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</si>
  <si>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</si>
  <si>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</si>
  <si>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</si>
  <si>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</si>
  <si>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</si>
  <si>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</si>
  <si>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</si>
  <si>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</si>
  <si>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</si>
  <si>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</si>
  <si>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</si>
  <si>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</si>
  <si>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</si>
  <si>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</si>
  <si>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</si>
  <si>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</si>
  <si>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</si>
  <si>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</si>
  <si>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</si>
  <si>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</si>
  <si>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</si>
  <si>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</si>
  <si>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</si>
  <si>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</si>
  <si>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</si>
  <si>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</si>
  <si>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</si>
  <si>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</si>
  <si>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</si>
  <si>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</si>
  <si>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</si>
  <si>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</si>
  <si>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</si>
  <si>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</si>
  <si>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</si>
  <si>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</si>
  <si>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</si>
  <si>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</si>
  <si>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</si>
  <si>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</si>
  <si>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</si>
  <si>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</si>
  <si>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</si>
  <si>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</si>
  <si>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</si>
  <si>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</si>
  <si>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</si>
  <si>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</si>
  <si>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</si>
  <si>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</si>
  <si>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</si>
  <si>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</si>
  <si>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</si>
  <si>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</si>
  <si>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</si>
  <si>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</si>
  <si>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</si>
  <si>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</si>
  <si>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</si>
  <si>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</si>
  <si>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</si>
  <si>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</si>
  <si>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</si>
  <si>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</si>
  <si>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</si>
  <si>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</si>
  <si>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</si>
  <si>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</si>
  <si>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</si>
  <si>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</si>
  <si>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</si>
  <si>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</si>
  <si>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</si>
  <si>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</si>
  <si>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</si>
  <si>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</si>
  <si>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</si>
  <si>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</si>
  <si>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</si>
  <si>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</si>
  <si>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</si>
  <si>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</si>
  <si>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</si>
  <si>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</si>
  <si>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</si>
  <si>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</si>
  <si>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</si>
  <si>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</si>
  <si>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</si>
  <si>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</si>
  <si>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</si>
  <si>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</si>
  <si>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</si>
  <si>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</si>
  <si>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</si>
  <si>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</si>
  <si>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</si>
  <si>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</si>
  <si>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</si>
  <si>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</si>
  <si>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</si>
  <si>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</si>
  <si>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</si>
  <si>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</si>
  <si>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</si>
  <si>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</si>
  <si>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</si>
  <si>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</si>
  <si>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</si>
  <si>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</si>
  <si>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</si>
  <si>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</si>
  <si>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</si>
  <si>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</si>
  <si>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</si>
  <si>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</si>
  <si>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</si>
  <si>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</si>
  <si>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</si>
  <si>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</si>
  <si>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</si>
  <si>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</si>
  <si>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</si>
  <si>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</si>
  <si>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</si>
  <si>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</si>
  <si>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</si>
  <si>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</si>
  <si>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</si>
  <si>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</si>
  <si>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</si>
  <si>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</si>
  <si>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</si>
  <si>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</si>
  <si>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</si>
  <si>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</si>
  <si>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</si>
  <si>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</si>
  <si>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</si>
  <si>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</si>
  <si>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</si>
  <si>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</si>
  <si>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</si>
  <si>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</si>
  <si>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</si>
  <si>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</si>
  <si>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</si>
  <si>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</si>
  <si>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</si>
  <si>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</si>
  <si>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</si>
  <si>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</si>
  <si>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</si>
  <si>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</si>
  <si>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</si>
  <si>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</si>
  <si>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</si>
  <si>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</si>
  <si>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</si>
  <si>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</si>
  <si>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</si>
  <si>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</si>
  <si>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</si>
  <si>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</si>
  <si>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</si>
  <si>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</si>
  <si>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</si>
  <si>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</si>
  <si>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</si>
  <si>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</si>
  <si>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</si>
  <si>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</si>
  <si>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</si>
  <si>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</si>
  <si>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</si>
  <si>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</si>
  <si>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</si>
  <si>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</si>
  <si>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</si>
  <si>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</si>
  <si>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</si>
  <si>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</si>
  <si>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</si>
  <si>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</si>
  <si>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</si>
  <si>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</si>
  <si>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</si>
  <si>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</si>
  <si>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</si>
  <si>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</si>
  <si>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</si>
  <si>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</si>
  <si>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</si>
  <si>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</si>
  <si>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</si>
  <si>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</si>
  <si>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</si>
  <si>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</si>
  <si>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</si>
  <si>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</si>
  <si>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</si>
  <si>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</si>
  <si>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</si>
  <si>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</si>
  <si>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</si>
  <si>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</si>
  <si>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</si>
  <si>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</si>
  <si>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</si>
  <si>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</si>
  <si>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</si>
  <si>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</si>
  <si>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</si>
  <si>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</si>
  <si>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</si>
  <si>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</si>
  <si>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</si>
  <si>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</si>
  <si>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</si>
  <si>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</si>
  <si>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</si>
  <si>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</si>
  <si>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</si>
  <si>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</si>
  <si>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</si>
  <si>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</si>
  <si>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</si>
  <si>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</si>
  <si>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</si>
  <si>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</si>
  <si>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</si>
  <si>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</si>
  <si>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</si>
  <si>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</si>
  <si>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</si>
  <si>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</si>
  <si>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</si>
  <si>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</si>
  <si>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</si>
  <si>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</si>
  <si>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</si>
  <si>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</si>
  <si>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</si>
  <si>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</si>
  <si>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</si>
  <si>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</si>
  <si>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</si>
  <si>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</si>
  <si>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</si>
  <si>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</si>
  <si>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</si>
  <si>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</si>
  <si>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</si>
  <si>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</si>
  <si>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</si>
  <si>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</si>
  <si>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</si>
  <si>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</si>
  <si>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</si>
  <si>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</si>
  <si>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</si>
  <si>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</si>
  <si>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</si>
  <si>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</si>
  <si>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</si>
  <si>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</si>
  <si>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</si>
  <si>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</si>
  <si>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</si>
  <si>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</si>
  <si>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</si>
  <si>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</si>
  <si>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</si>
  <si>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</si>
  <si>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</si>
  <si>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</si>
  <si>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</si>
  <si>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</si>
  <si>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</si>
  <si>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</si>
  <si>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</si>
  <si>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</si>
  <si>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</si>
  <si>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</si>
  <si>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</si>
  <si>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</si>
  <si>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</si>
  <si>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</si>
  <si>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</si>
  <si>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</si>
  <si>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</si>
  <si>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</si>
  <si>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</si>
  <si>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</si>
  <si>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</si>
  <si>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</si>
  <si>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</si>
  <si>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</si>
  <si>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</si>
  <si>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</si>
  <si>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</si>
  <si>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</si>
  <si>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</si>
  <si>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</si>
  <si>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</si>
  <si>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</si>
  <si>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</si>
  <si>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</si>
  <si>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</si>
  <si>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</si>
  <si>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</si>
  <si>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</si>
  <si>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</si>
  <si>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</si>
  <si>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</si>
  <si>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</si>
  <si>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</si>
  <si>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</si>
  <si>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</si>
  <si>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</si>
  <si>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</si>
  <si>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</si>
  <si>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</si>
  <si>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</si>
  <si>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</si>
  <si>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</si>
  <si>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</si>
  <si>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</si>
  <si>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</si>
  <si>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</si>
  <si>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</si>
  <si>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</si>
  <si>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</si>
  <si>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</si>
  <si>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</si>
  <si>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</si>
  <si>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</si>
  <si>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</si>
  <si>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</si>
  <si>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</si>
  <si>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</si>
  <si>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</si>
  <si>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</si>
  <si>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</si>
  <si>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</si>
  <si>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</si>
  <si>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</si>
  <si>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</si>
  <si>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</si>
  <si>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</si>
  <si>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</si>
  <si>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</si>
  <si>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</si>
  <si>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</si>
  <si>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</si>
  <si>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</si>
  <si>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</si>
  <si>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</si>
  <si>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</si>
  <si>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</si>
  <si>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</si>
  <si>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</si>
  <si>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</si>
  <si>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</si>
  <si>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</si>
  <si>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</si>
  <si>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</si>
  <si>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</si>
  <si>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</si>
  <si>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</si>
  <si>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</si>
  <si>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</si>
  <si>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</si>
  <si>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</si>
  <si>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</si>
  <si>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</si>
  <si>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</si>
  <si>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</si>
  <si>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</si>
  <si>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</si>
  <si>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</si>
  <si>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</si>
  <si>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</si>
  <si>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</si>
  <si>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</si>
  <si>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</si>
  <si>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</si>
  <si>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</si>
  <si>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</si>
  <si>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</si>
  <si>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</si>
  <si>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</si>
  <si>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</si>
  <si>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</si>
  <si>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</si>
  <si>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</si>
  <si>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</si>
  <si>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</si>
  <si>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</si>
  <si>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</si>
  <si>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</si>
  <si>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</si>
  <si>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</si>
  <si>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</si>
  <si>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</si>
  <si>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</si>
  <si>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</si>
  <si>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</si>
  <si>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</si>
  <si>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</si>
  <si>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</si>
  <si>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</si>
  <si>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</si>
  <si>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</si>
  <si>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</si>
  <si>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</si>
  <si>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</si>
  <si>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</si>
  <si>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</si>
  <si>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</si>
  <si>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</si>
  <si>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</si>
  <si>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</si>
  <si>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</si>
  <si>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</si>
  <si>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</si>
  <si>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</si>
  <si>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</si>
  <si>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</si>
  <si>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</si>
  <si>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</si>
  <si>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</si>
  <si>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</si>
  <si>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</si>
  <si>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</si>
  <si>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</si>
  <si>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</si>
  <si>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</si>
  <si>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</si>
  <si>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</si>
  <si>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</si>
  <si>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</si>
  <si>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</si>
  <si>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</si>
  <si>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</si>
  <si>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</si>
  <si>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</si>
  <si>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</si>
  <si>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</si>
  <si>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</si>
  <si>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</si>
  <si>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</si>
  <si>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</si>
  <si>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</si>
  <si>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</si>
  <si>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</si>
  <si>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</si>
  <si>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</si>
  <si>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</si>
  <si>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</si>
  <si>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</si>
  <si>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</si>
  <si>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</si>
  <si>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</si>
  <si>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</si>
  <si>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</si>
  <si>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</si>
  <si>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</si>
  <si>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</si>
  <si>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</si>
  <si>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</si>
  <si>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</si>
  <si>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</si>
  <si>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</si>
  <si>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</si>
  <si>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</si>
  <si>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</si>
  <si>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</si>
  <si>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</si>
  <si>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</si>
  <si>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</si>
  <si>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</si>
  <si>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</si>
  <si>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</si>
  <si>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</si>
  <si>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</si>
  <si>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</si>
  <si>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</si>
  <si>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</si>
  <si>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</si>
  <si>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</si>
  <si>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</si>
  <si>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</si>
  <si>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</si>
  <si>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</si>
  <si>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</si>
  <si>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</si>
  <si>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</si>
  <si>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</si>
  <si>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</si>
  <si>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</si>
  <si>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</si>
  <si>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</si>
  <si>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</si>
  <si>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</si>
  <si>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</si>
  <si>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</si>
  <si>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</si>
  <si>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</si>
  <si>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</si>
  <si>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</si>
  <si>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</si>
  <si>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</si>
  <si>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</si>
  <si>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</si>
  <si>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</si>
  <si>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</si>
  <si>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</si>
  <si>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</si>
  <si>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</si>
  <si>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</si>
  <si>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</si>
  <si>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</si>
  <si>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</si>
  <si>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</si>
  <si>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</si>
  <si>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</si>
  <si>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</si>
  <si>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</si>
  <si>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</si>
  <si>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</si>
  <si>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</si>
  <si>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</si>
  <si>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</si>
  <si>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</si>
  <si>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</si>
  <si>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</si>
  <si>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</si>
  <si>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</si>
  <si>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</si>
  <si>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</si>
  <si>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</si>
  <si>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</si>
  <si>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</si>
  <si>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</si>
  <si>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</si>
  <si>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</si>
  <si>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</si>
  <si>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</si>
  <si>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</si>
  <si>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</si>
  <si>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</si>
  <si>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</si>
  <si>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</si>
  <si>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</si>
  <si>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</si>
  <si>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</si>
  <si>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</si>
  <si>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</si>
  <si>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</si>
  <si>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</si>
  <si>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</si>
  <si>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</si>
  <si>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</si>
  <si>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</si>
  <si>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</si>
  <si>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</si>
  <si>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</si>
  <si>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</si>
  <si>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</si>
  <si>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</si>
  <si>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</si>
  <si>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</si>
  <si>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</si>
  <si>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</si>
  <si>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</si>
  <si>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</si>
  <si>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</si>
  <si>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</si>
  <si>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</si>
  <si>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</si>
  <si>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</si>
  <si>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</si>
  <si>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</si>
  <si>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</si>
  <si>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</si>
  <si>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</si>
  <si>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</si>
  <si>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</si>
  <si>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</si>
  <si>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</si>
  <si>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</si>
  <si>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</si>
  <si>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</si>
  <si>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</si>
  <si>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</si>
  <si>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</si>
  <si>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</si>
  <si>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</si>
  <si>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</si>
  <si>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</si>
  <si>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</si>
  <si>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</si>
  <si>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</si>
  <si>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</si>
  <si>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</si>
  <si>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</si>
  <si>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</si>
  <si>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</si>
  <si>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</si>
  <si>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</si>
  <si>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</si>
  <si>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</si>
  <si>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</si>
  <si>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</si>
  <si>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</si>
  <si>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</si>
  <si>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</si>
  <si>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</si>
  <si>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</si>
  <si>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</si>
  <si>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</si>
  <si>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</si>
  <si>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</si>
  <si>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</si>
  <si>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</si>
  <si>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</si>
  <si>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</si>
  <si>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</si>
  <si>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</si>
  <si>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</si>
  <si>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</si>
  <si>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</si>
  <si>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</si>
  <si>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</si>
  <si>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</si>
  <si>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</si>
  <si>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</si>
  <si>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</si>
  <si>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</si>
  <si>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</si>
  <si>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</si>
  <si>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</si>
  <si>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</si>
  <si>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</si>
  <si>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</si>
  <si>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</si>
  <si>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</si>
  <si>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</si>
  <si>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</si>
  <si>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</si>
  <si>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</si>
  <si>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</si>
  <si>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</si>
  <si>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</si>
  <si>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</si>
  <si>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</si>
  <si>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</si>
  <si>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</si>
  <si>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</si>
  <si>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</si>
  <si>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</si>
  <si>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</si>
  <si>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</si>
  <si>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</si>
  <si>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</si>
  <si>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</si>
  <si>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</si>
  <si>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</si>
  <si>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</si>
  <si>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</si>
  <si>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</si>
  <si>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</si>
  <si>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</si>
  <si>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</si>
  <si>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</si>
  <si>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</si>
  <si>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</si>
  <si>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</si>
  <si>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</si>
  <si>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</si>
  <si>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</si>
  <si>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</si>
  <si>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</si>
  <si>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</si>
  <si>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</si>
  <si>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</si>
  <si>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</si>
  <si>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</si>
  <si>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</si>
  <si>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</si>
  <si>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</si>
  <si>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</si>
  <si>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</si>
  <si>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</si>
  <si>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</si>
  <si>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</si>
  <si>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</si>
  <si>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</si>
  <si>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</si>
  <si>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</si>
  <si>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</si>
  <si>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</si>
  <si>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</si>
  <si>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</si>
  <si>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</si>
  <si>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</si>
  <si>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</si>
  <si>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</si>
  <si>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</si>
  <si>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</si>
  <si>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</si>
  <si>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</si>
  <si>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</si>
  <si>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</si>
  <si>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</si>
  <si>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</si>
  <si>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</si>
  <si>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</si>
  <si>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</si>
  <si>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</si>
  <si>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</si>
  <si>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</si>
  <si>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</si>
  <si>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</si>
  <si>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</si>
  <si>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</si>
  <si>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</si>
  <si>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</si>
  <si>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</si>
  <si>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</si>
  <si>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</si>
  <si>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</si>
  <si>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</si>
  <si>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</si>
  <si>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</si>
  <si>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</si>
  <si>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</si>
  <si>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</si>
  <si>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</si>
  <si>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</si>
  <si>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</si>
  <si>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</si>
  <si>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</si>
  <si>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</si>
  <si>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</si>
  <si>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</si>
  <si>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</si>
  <si>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</si>
  <si>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</si>
  <si>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</si>
  <si>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</si>
  <si>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</si>
  <si>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</si>
  <si>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</si>
  <si>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</si>
  <si>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</si>
  <si>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</si>
  <si>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</si>
  <si>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</si>
  <si>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</si>
  <si>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</si>
  <si>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</si>
  <si>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</si>
  <si>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</si>
  <si>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</si>
  <si>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</si>
  <si>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</si>
  <si>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</si>
  <si>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</si>
  <si>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</si>
  <si>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</si>
  <si>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</si>
  <si>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</si>
  <si>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</si>
  <si>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</si>
  <si>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</si>
  <si>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</si>
  <si>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</si>
  <si>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</si>
  <si>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</si>
  <si>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</si>
  <si>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</si>
  <si>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</si>
  <si>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</si>
  <si>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</si>
  <si>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</si>
  <si>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</si>
  <si>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</si>
  <si>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</si>
  <si>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</si>
  <si>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</si>
  <si>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</si>
  <si>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</si>
  <si>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</si>
  <si>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</si>
  <si>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</si>
  <si>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</si>
  <si>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</si>
  <si>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</si>
  <si>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</si>
  <si>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</si>
  <si>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</si>
  <si>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</si>
  <si>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</si>
  <si>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</si>
  <si>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</si>
  <si>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</si>
  <si>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</si>
  <si>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</si>
  <si>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</si>
  <si>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</si>
  <si>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</si>
  <si>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</si>
  <si>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</si>
  <si>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</si>
  <si>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</si>
  <si>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</si>
  <si>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</si>
  <si>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</si>
  <si>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</si>
  <si>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</si>
  <si>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</si>
  <si>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</si>
  <si>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</si>
  <si>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</si>
  <si>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</si>
  <si>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</si>
  <si>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</si>
  <si>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</si>
  <si>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</si>
  <si>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</si>
  <si>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</si>
  <si>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</si>
  <si>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</si>
  <si>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</si>
  <si>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</si>
  <si>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</si>
  <si>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</si>
  <si>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</si>
  <si>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</si>
  <si>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</si>
  <si>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</si>
  <si>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</si>
  <si>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</si>
  <si>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</si>
  <si>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</si>
  <si>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</si>
  <si>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</si>
  <si>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</si>
  <si>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</si>
  <si>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</si>
  <si>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</si>
  <si>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</si>
  <si>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</si>
  <si>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</si>
  <si>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</si>
  <si>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</si>
  <si>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</si>
  <si>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</si>
  <si>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</si>
  <si>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</si>
  <si>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</si>
  <si>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</si>
  <si>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</si>
  <si>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</si>
  <si>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</si>
  <si>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</si>
  <si>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</si>
  <si>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</si>
  <si>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</si>
  <si>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</si>
  <si>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</si>
  <si>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</si>
  <si>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</si>
  <si>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</si>
  <si>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</si>
  <si>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</si>
  <si>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</si>
  <si>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</si>
  <si>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</si>
  <si>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</si>
  <si>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</si>
  <si>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</si>
  <si>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</si>
  <si>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</si>
  <si>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</si>
  <si>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</si>
  <si>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</si>
  <si>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</si>
  <si>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</si>
  <si>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</si>
  <si>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</si>
  <si>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</si>
  <si>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</si>
  <si>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</si>
  <si>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</si>
  <si>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</si>
  <si>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</si>
  <si>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</si>
  <si>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</si>
  <si>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</si>
  <si>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</si>
  <si>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</si>
  <si>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</si>
  <si>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</si>
  <si>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</si>
  <si>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</si>
  <si>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</si>
  <si>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</si>
  <si>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</si>
  <si>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</si>
  <si>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</si>
  <si>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</si>
  <si>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</si>
  <si>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</si>
  <si>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</si>
  <si>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</si>
  <si>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</si>
  <si>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</si>
  <si>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</si>
  <si>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</si>
  <si>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</si>
  <si>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</si>
  <si>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</si>
  <si>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</si>
  <si>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</si>
  <si>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</si>
  <si>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</si>
  <si>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</si>
  <si>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</si>
  <si>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</si>
  <si>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</si>
  <si>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</si>
  <si>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</si>
  <si>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</si>
  <si>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</si>
  <si>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</si>
  <si>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</si>
  <si>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</si>
  <si>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</si>
  <si>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</si>
  <si>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</si>
  <si>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</si>
  <si>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</si>
  <si>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</si>
  <si>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</si>
  <si>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</si>
  <si>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</si>
  <si>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</si>
  <si>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</si>
  <si>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</si>
  <si>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</si>
  <si>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</si>
  <si>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</si>
  <si>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</si>
  <si>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</si>
  <si>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</si>
  <si>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</si>
  <si>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</si>
  <si>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</si>
  <si>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</si>
  <si>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</si>
  <si>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</si>
  <si>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</si>
  <si>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</si>
  <si>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</si>
  <si>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</si>
  <si>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</si>
  <si>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</si>
  <si>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</si>
  <si>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</si>
  <si>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</si>
  <si>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</si>
  <si>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</si>
  <si>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</si>
  <si>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</si>
  <si>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</si>
  <si>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</si>
  <si>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</si>
  <si>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</si>
  <si>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</si>
  <si>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</si>
  <si>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</si>
  <si>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</si>
  <si>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</si>
  <si>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</si>
  <si>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</si>
  <si>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</si>
  <si>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</si>
  <si>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</si>
  <si>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</si>
  <si>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</si>
  <si>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</si>
  <si>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</si>
  <si>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</si>
  <si>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</si>
  <si>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</si>
  <si>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</si>
  <si>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</si>
  <si>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</si>
  <si>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</si>
  <si>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</si>
  <si>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</si>
  <si>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</si>
  <si>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</si>
  <si>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</si>
  <si>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</si>
  <si>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</si>
  <si>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</si>
  <si>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</si>
  <si>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</si>
  <si>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</si>
  <si>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</si>
  <si>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</si>
  <si>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</si>
  <si>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</si>
  <si>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</si>
  <si>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</si>
  <si>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</si>
  <si>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</si>
  <si>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</si>
  <si>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</si>
  <si>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</si>
  <si>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</si>
  <si>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</si>
  <si>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</si>
  <si>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</si>
  <si>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</si>
  <si>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</si>
  <si>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</si>
  <si>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</si>
  <si>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</si>
  <si>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</si>
  <si>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</si>
  <si>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</si>
  <si>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</si>
  <si>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</si>
  <si>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</si>
  <si>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</si>
  <si>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</si>
  <si>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</si>
  <si>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</si>
  <si>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</si>
  <si>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</si>
  <si>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</si>
  <si>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</si>
  <si>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</si>
  <si>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</si>
  <si>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</si>
  <si>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</si>
  <si>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</si>
  <si>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</si>
  <si>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</si>
  <si>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</si>
  <si>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</si>
  <si>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</si>
  <si>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</si>
  <si>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</si>
  <si>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</si>
  <si>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</si>
  <si>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</si>
  <si>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</si>
  <si>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</si>
  <si>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</si>
  <si>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</si>
  <si>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</si>
  <si>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</si>
  <si>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</si>
  <si>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</si>
  <si>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</si>
  <si>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</si>
  <si>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</si>
  <si>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</si>
  <si>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</si>
  <si>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</si>
  <si>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</si>
  <si>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</si>
  <si>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</si>
  <si>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</si>
  <si>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</si>
  <si>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</si>
  <si>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</si>
  <si>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</si>
  <si>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</si>
  <si>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</si>
  <si>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</si>
  <si>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</si>
  <si>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</si>
  <si>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</si>
  <si>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</si>
  <si>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</si>
  <si>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</si>
  <si>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</si>
  <si>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</si>
  <si>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</si>
  <si>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</si>
  <si>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</si>
  <si>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</si>
  <si>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</si>
  <si>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</si>
  <si>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</si>
  <si>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</si>
  <si>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</si>
  <si>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</si>
  <si>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</si>
  <si>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</si>
  <si>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</si>
  <si>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</si>
  <si>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</si>
  <si>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</si>
  <si>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</si>
  <si>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</si>
  <si>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</si>
  <si>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</si>
  <si>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</si>
  <si>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</si>
  <si>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</si>
  <si>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</si>
  <si>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</si>
  <si>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</si>
  <si>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</si>
  <si>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</si>
  <si>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</si>
  <si>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</si>
  <si>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</si>
  <si>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</si>
  <si>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</si>
  <si>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</si>
  <si>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</si>
  <si>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</si>
  <si>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</si>
  <si>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</si>
  <si>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</si>
  <si>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</si>
  <si>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</si>
  <si>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</si>
  <si>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</si>
  <si>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</si>
  <si>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</si>
  <si>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</si>
  <si>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</si>
  <si>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</si>
  <si>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</si>
  <si>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</si>
  <si>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</si>
  <si>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</si>
  <si>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</si>
  <si>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</si>
  <si>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</si>
  <si>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</si>
  <si>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</si>
  <si>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</si>
  <si>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</si>
  <si>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</si>
  <si>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</si>
  <si>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</si>
  <si>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</si>
  <si>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</si>
  <si>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</si>
  <si>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</si>
  <si>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</si>
  <si>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</si>
  <si>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</si>
  <si>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</si>
  <si>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</si>
  <si>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</si>
  <si>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</si>
  <si>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</si>
  <si>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</si>
  <si>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</si>
  <si>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</si>
  <si>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</si>
  <si>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</si>
  <si>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</si>
  <si>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</si>
  <si>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</si>
  <si>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</si>
  <si>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</si>
  <si>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</si>
  <si>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</si>
  <si>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</si>
  <si>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</si>
  <si>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</si>
  <si>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</si>
  <si>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</si>
  <si>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</si>
  <si>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</si>
  <si>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</si>
  <si>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</si>
  <si>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</si>
  <si>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</si>
  <si>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</si>
  <si>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</si>
  <si>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</si>
  <si>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</si>
  <si>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</si>
  <si>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</si>
  <si>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</si>
  <si>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</si>
  <si>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</si>
  <si>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</si>
  <si>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</si>
  <si>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</si>
  <si>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</si>
  <si>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</si>
  <si>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</si>
  <si>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</si>
  <si>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</si>
  <si>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</si>
  <si>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</si>
  <si>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</si>
  <si>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</si>
  <si>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</si>
  <si>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</si>
  <si>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</si>
  <si>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</si>
  <si>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</si>
  <si>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</si>
  <si>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</si>
  <si>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</si>
  <si>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</si>
  <si>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</si>
  <si>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</si>
  <si>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</si>
  <si>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</si>
  <si>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</si>
  <si>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</si>
  <si>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</si>
  <si>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</si>
  <si>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</si>
  <si>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</si>
  <si>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</si>
  <si>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</si>
  <si>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</si>
  <si>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</si>
  <si>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</si>
  <si>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</si>
  <si>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</si>
  <si>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</si>
  <si>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</si>
  <si>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</si>
  <si>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</si>
  <si>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</si>
  <si>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</si>
  <si>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</si>
  <si>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</si>
  <si>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</si>
  <si>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</si>
  <si>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</si>
  <si>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</si>
  <si>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</si>
  <si>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</si>
  <si>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</si>
  <si>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</si>
  <si>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</si>
  <si>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</si>
  <si>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</si>
  <si>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</si>
  <si>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</si>
  <si>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</si>
  <si>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</si>
  <si>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</si>
  <si>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</si>
  <si>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</si>
  <si>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</si>
  <si>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</si>
  <si>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</si>
  <si>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</si>
  <si>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</si>
  <si>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</si>
  <si>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</si>
  <si>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</si>
  <si>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</si>
  <si>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</si>
  <si>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</si>
  <si>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</si>
  <si>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</si>
  <si>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</si>
  <si>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</si>
  <si>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</si>
  <si>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</si>
  <si>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</si>
  <si>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</si>
  <si>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</si>
  <si>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</si>
  <si>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</si>
  <si>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</si>
  <si>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</si>
  <si>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</si>
  <si>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</si>
  <si>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</si>
  <si>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</si>
  <si>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</si>
  <si>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</si>
  <si>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</si>
  <si>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</si>
  <si>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</si>
  <si>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</si>
  <si>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</si>
  <si>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</si>
  <si>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</si>
  <si>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</si>
  <si>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</si>
  <si>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</si>
  <si>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</si>
  <si>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</si>
  <si>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</si>
  <si>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</si>
  <si>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</si>
  <si>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</si>
  <si>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</si>
  <si>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</si>
  <si>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</si>
  <si>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</si>
  <si>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</si>
  <si>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</si>
  <si>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</si>
  <si>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</si>
  <si>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</si>
  <si>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</si>
  <si>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</si>
  <si>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</si>
  <si>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</si>
  <si>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</si>
  <si>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</si>
  <si>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</si>
  <si>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</si>
  <si>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</si>
  <si>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</si>
  <si>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</si>
  <si>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</si>
  <si>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</si>
  <si>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</si>
  <si>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</si>
  <si>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</si>
  <si>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</si>
  <si>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</si>
  <si>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</si>
  <si>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</si>
  <si>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</si>
  <si>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</si>
  <si>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</si>
  <si>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</si>
  <si>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</si>
  <si>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</si>
  <si>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</si>
  <si>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</si>
  <si>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</si>
  <si>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</si>
  <si>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</si>
  <si>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</si>
  <si>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</si>
  <si>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</si>
  <si>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</si>
  <si>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</si>
  <si>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</si>
  <si>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</si>
  <si>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</si>
  <si>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</si>
  <si>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</si>
  <si>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</si>
  <si>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</si>
  <si>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</si>
  <si>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</si>
  <si>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</si>
  <si>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</si>
  <si>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</si>
  <si>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</si>
  <si>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</si>
  <si>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</si>
  <si>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</si>
  <si>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</si>
  <si>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</si>
  <si>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</si>
  <si>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</si>
  <si>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</si>
  <si>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</si>
  <si>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</si>
  <si>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</si>
  <si>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</si>
  <si>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</si>
  <si>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</si>
  <si>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</si>
  <si>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</si>
  <si>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</si>
  <si>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</si>
  <si>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</si>
  <si>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</si>
  <si>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</si>
  <si>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</si>
  <si>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</si>
  <si>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</si>
  <si>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</si>
  <si>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</si>
  <si>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</si>
  <si>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</si>
  <si>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</si>
  <si>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</si>
  <si>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</si>
  <si>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</si>
  <si>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</si>
  <si>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</si>
  <si>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</si>
  <si>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</si>
  <si>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</si>
  <si>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</si>
  <si>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</si>
  <si>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</si>
  <si>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</si>
  <si>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</si>
  <si>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</si>
  <si>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</si>
  <si>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</si>
  <si>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</si>
  <si>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</si>
  <si>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</si>
  <si>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</si>
  <si>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</si>
  <si>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</si>
  <si>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</si>
  <si>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</si>
  <si>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</si>
  <si>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</si>
  <si>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</si>
  <si>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</si>
  <si>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</si>
  <si>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</si>
  <si>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</si>
  <si>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</si>
  <si>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</si>
  <si>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</si>
  <si>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</si>
  <si>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</si>
  <si>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</si>
  <si>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</si>
  <si>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</si>
  <si>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</si>
  <si>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</si>
  <si>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</si>
  <si>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</si>
  <si>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</si>
  <si>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</si>
  <si>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</si>
  <si>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</si>
  <si>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</si>
  <si>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</si>
  <si>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</si>
  <si>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</si>
  <si>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</si>
  <si>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</si>
  <si>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</si>
  <si>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</si>
  <si>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</si>
  <si>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</si>
  <si>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</si>
  <si>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</si>
  <si>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</si>
  <si>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</si>
  <si>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</si>
  <si>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</si>
  <si>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</si>
  <si>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</si>
  <si>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</si>
  <si>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</si>
  <si>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</si>
  <si>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</si>
  <si>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</si>
  <si>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</si>
  <si>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</si>
  <si>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</si>
  <si>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</si>
  <si>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</si>
  <si>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</si>
  <si>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</si>
  <si>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</si>
  <si>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</si>
  <si>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</si>
  <si>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</si>
  <si>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</si>
  <si>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</si>
  <si>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</si>
  <si>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</si>
  <si>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</si>
  <si>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</si>
  <si>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</si>
  <si>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</si>
  <si>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</si>
  <si>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</si>
  <si>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</si>
  <si>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</si>
  <si>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</si>
  <si>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</si>
  <si>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</si>
  <si>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</si>
  <si>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</si>
  <si>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</si>
  <si>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</si>
  <si>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</si>
  <si>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</si>
  <si>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</si>
  <si>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</si>
  <si>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</si>
  <si>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</si>
  <si>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</si>
  <si>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</si>
  <si>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</si>
  <si>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</si>
  <si>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</si>
  <si>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</si>
  <si>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</si>
  <si>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</si>
  <si>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</si>
  <si>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</si>
  <si>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</si>
  <si>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</si>
  <si>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</si>
  <si>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</si>
  <si>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</si>
  <si>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</si>
  <si>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</si>
  <si>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</si>
  <si>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</si>
  <si>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</si>
  <si>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</si>
  <si>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</si>
  <si>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</si>
  <si>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</si>
  <si>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</si>
  <si>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</si>
  <si>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</si>
  <si>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</si>
  <si>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</si>
  <si>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</si>
  <si>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</si>
  <si>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</si>
  <si>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</si>
  <si>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</si>
  <si>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</si>
  <si>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</si>
  <si>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</si>
  <si>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</si>
  <si>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</si>
  <si>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</si>
  <si>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</si>
  <si>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</si>
  <si>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</si>
  <si>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</si>
  <si>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</si>
  <si>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</si>
  <si>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</si>
  <si>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</si>
  <si>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</si>
  <si>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</si>
  <si>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</si>
  <si>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</si>
  <si>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</si>
  <si>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</si>
  <si>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</si>
  <si>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</si>
  <si>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</si>
  <si>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</si>
  <si>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</si>
  <si>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</si>
  <si>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</si>
  <si>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</si>
  <si>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</si>
  <si>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</si>
  <si>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</si>
  <si>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</si>
  <si>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</si>
  <si>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</si>
  <si>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</si>
  <si>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</si>
  <si>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</si>
  <si>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</si>
  <si>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</si>
  <si>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</si>
  <si>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</si>
  <si>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</si>
  <si>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</si>
  <si>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</si>
  <si>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</si>
  <si>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</si>
  <si>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</si>
  <si>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</si>
  <si>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</si>
  <si>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</si>
  <si>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</si>
  <si>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</si>
  <si>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</si>
  <si>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</si>
  <si>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</si>
  <si>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</si>
  <si>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</si>
  <si>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</si>
  <si>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</si>
  <si>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</si>
  <si>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</si>
  <si>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</si>
  <si>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</si>
  <si>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</si>
  <si>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</si>
  <si>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</si>
  <si>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</si>
  <si>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</si>
  <si>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</si>
  <si>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</si>
  <si>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</si>
  <si>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</si>
  <si>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</si>
  <si>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</si>
  <si>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</si>
  <si>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</si>
  <si>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</si>
  <si>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</si>
  <si>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</si>
  <si>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</si>
  <si>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</si>
  <si>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</si>
  <si>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</si>
  <si>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</si>
  <si>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</si>
  <si>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</si>
  <si>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</si>
  <si>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</si>
  <si>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</si>
  <si>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</si>
  <si>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</si>
  <si>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</si>
  <si>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</si>
  <si>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</si>
  <si>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</si>
  <si>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</si>
  <si>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</si>
  <si>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</si>
  <si>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</si>
  <si>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</si>
  <si>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</si>
  <si>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</si>
  <si>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</si>
  <si>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</si>
  <si>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</si>
  <si>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</si>
  <si>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</si>
  <si>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</si>
  <si>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</si>
  <si>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</si>
  <si>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</si>
  <si>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</si>
  <si>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</si>
  <si>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</si>
  <si>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</si>
  <si>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</si>
  <si>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</si>
  <si>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</si>
  <si>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</si>
  <si>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</si>
  <si>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</si>
  <si>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</si>
  <si>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</si>
  <si>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</si>
  <si>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</si>
  <si>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</si>
  <si>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</si>
  <si>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</si>
  <si>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</si>
  <si>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</si>
  <si>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</si>
  <si>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</si>
  <si>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</si>
  <si>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</si>
  <si>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</si>
  <si>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</si>
  <si>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</si>
  <si>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</si>
  <si>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</si>
  <si>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</si>
  <si>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</si>
  <si>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</si>
  <si>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</si>
  <si>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</si>
  <si>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</si>
  <si>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</si>
  <si>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</si>
  <si>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</si>
  <si>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</si>
  <si>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</si>
  <si>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</si>
  <si>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</si>
  <si>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</si>
  <si>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</si>
  <si>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</si>
  <si>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</si>
  <si>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</si>
  <si>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</si>
  <si>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</si>
  <si>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</si>
  <si>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</si>
  <si>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</si>
  <si>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</si>
  <si>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</si>
  <si>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</si>
  <si>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</si>
  <si>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</si>
  <si>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</si>
  <si>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</si>
  <si>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</si>
  <si>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</si>
  <si>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</si>
  <si>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</si>
  <si>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</si>
  <si>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</si>
  <si>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</si>
  <si>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</si>
  <si>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</si>
  <si>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</si>
  <si>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</si>
  <si>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</si>
  <si>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</si>
  <si>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</si>
  <si>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</si>
  <si>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</si>
  <si>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</si>
  <si>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</si>
  <si>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</si>
  <si>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</si>
  <si>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</si>
  <si>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</si>
  <si>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</si>
  <si>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</si>
  <si>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</si>
  <si>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</si>
  <si>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</si>
  <si>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</si>
  <si>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</si>
  <si>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</si>
  <si>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</si>
  <si>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</si>
  <si>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</si>
  <si>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</si>
  <si>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</si>
  <si>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</si>
  <si>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</si>
  <si>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</si>
  <si>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</si>
  <si>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</si>
  <si>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</si>
  <si>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</si>
  <si>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</si>
  <si>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</si>
  <si>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</si>
  <si>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</si>
  <si>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</si>
  <si>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</si>
  <si>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</si>
  <si>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</si>
  <si>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</si>
  <si>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</si>
  <si>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</si>
  <si>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</si>
  <si>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</si>
  <si>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</si>
  <si>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</si>
  <si>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</si>
  <si>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</si>
  <si>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</si>
  <si>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</si>
  <si>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</si>
  <si>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</si>
  <si>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</si>
  <si>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</si>
  <si>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</si>
  <si>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</si>
  <si>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</si>
  <si>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</si>
  <si>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</si>
  <si>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</si>
  <si>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</si>
  <si>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</si>
  <si>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</si>
  <si>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</si>
  <si>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</si>
  <si>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</si>
  <si>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</si>
  <si>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</si>
  <si>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</si>
  <si>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</si>
  <si>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</si>
  <si>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</si>
  <si>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</si>
  <si>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</si>
  <si>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</si>
  <si>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</si>
  <si>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</si>
  <si>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</si>
  <si>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</si>
  <si>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</si>
  <si>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</si>
  <si>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</si>
  <si>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</si>
  <si>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</si>
  <si>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</si>
  <si>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</si>
  <si>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</si>
  <si>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</si>
  <si>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</si>
  <si>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</si>
  <si>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</si>
  <si>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</si>
  <si>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</si>
  <si>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</si>
  <si>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</si>
  <si>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</si>
  <si>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</si>
  <si>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</si>
  <si>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</si>
  <si>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</si>
  <si>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</si>
  <si>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</si>
  <si>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</si>
  <si>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</si>
  <si>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</si>
  <si>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</si>
  <si>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</si>
  <si>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</si>
  <si>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</si>
  <si>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</si>
  <si>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</si>
  <si>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</si>
  <si>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</si>
  <si>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</si>
  <si>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</si>
  <si>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</si>
  <si>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</si>
  <si>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</si>
  <si>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</si>
  <si>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</si>
  <si>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</si>
  <si>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</si>
  <si>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</si>
  <si>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</si>
  <si>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</si>
  <si>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</si>
  <si>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</si>
  <si>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</si>
  <si>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</si>
  <si>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</si>
  <si>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</si>
  <si>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</si>
  <si>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</si>
  <si>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</si>
  <si>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</si>
  <si>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</si>
  <si>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</si>
  <si>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</si>
  <si>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</si>
  <si>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</si>
  <si>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</si>
  <si>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</si>
  <si>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</si>
  <si>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</si>
  <si>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</si>
  <si>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</si>
  <si>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</si>
  <si>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</si>
  <si>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</si>
  <si>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</si>
  <si>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</si>
  <si>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</si>
  <si>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</si>
  <si>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</si>
  <si>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</si>
  <si>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</si>
  <si>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</si>
  <si>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</si>
  <si>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</si>
  <si>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</si>
  <si>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</si>
  <si>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</si>
  <si>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</si>
  <si>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</si>
  <si>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</si>
  <si>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</si>
  <si>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</si>
  <si>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</si>
  <si>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</si>
  <si>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</si>
  <si>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</si>
  <si>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</si>
  <si>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</si>
  <si>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</si>
  <si>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</si>
  <si>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</si>
  <si>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</si>
  <si>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</si>
  <si>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</si>
  <si>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</si>
  <si>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</si>
  <si>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</si>
  <si>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</si>
  <si>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</si>
  <si>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</si>
  <si>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</si>
  <si>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</si>
  <si>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</si>
  <si>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</si>
  <si>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</si>
  <si>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</si>
  <si>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</si>
  <si>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</si>
  <si>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</si>
  <si>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</si>
  <si>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</si>
  <si>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</si>
  <si>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</si>
  <si>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</si>
  <si>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</si>
  <si>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</si>
  <si>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</si>
  <si>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</si>
  <si>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</si>
  <si>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</si>
  <si>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</si>
  <si>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</si>
  <si>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</si>
  <si>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</si>
  <si>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</si>
  <si>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</si>
  <si>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</si>
  <si>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</si>
  <si>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</si>
  <si>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</si>
  <si>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</si>
  <si>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</si>
  <si>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</si>
  <si>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</si>
  <si>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</si>
  <si>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</si>
  <si>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</si>
  <si>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</si>
  <si>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</si>
  <si>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</si>
  <si>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</si>
  <si>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</si>
  <si>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</si>
  <si>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</si>
  <si>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</si>
  <si>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</si>
  <si>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</si>
  <si>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</si>
  <si>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</si>
  <si>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</si>
  <si>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</si>
  <si>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</si>
  <si>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</si>
  <si>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</si>
  <si>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</si>
  <si>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</si>
  <si>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</si>
  <si>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</si>
  <si>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</si>
  <si>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</si>
  <si>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</si>
  <si>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</si>
  <si>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</si>
  <si>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</si>
  <si>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</si>
  <si>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</si>
  <si>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</si>
  <si>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</si>
  <si>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</si>
  <si>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</si>
  <si>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</si>
  <si>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</si>
  <si>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</si>
  <si>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</si>
  <si>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</si>
  <si>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</si>
  <si>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</si>
  <si>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</si>
  <si>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</si>
  <si>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</si>
  <si>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</si>
  <si>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</si>
  <si>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</si>
  <si>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</si>
  <si>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</si>
  <si>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</si>
  <si>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</si>
  <si>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</si>
  <si>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</si>
  <si>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</si>
  <si>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</si>
  <si>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</si>
  <si>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</si>
  <si>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</si>
  <si>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</si>
  <si>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</si>
  <si>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</si>
  <si>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</si>
  <si>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</si>
  <si>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</si>
  <si>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</si>
  <si>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</si>
  <si>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</si>
  <si>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</si>
  <si>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</si>
  <si>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</si>
  <si>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</si>
  <si>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</si>
  <si>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</si>
  <si>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</si>
  <si>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</si>
  <si>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</si>
  <si>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</si>
  <si>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</si>
  <si>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</si>
  <si>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</si>
  <si>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</si>
  <si>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</si>
  <si>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</si>
  <si>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</si>
  <si>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</si>
  <si>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</si>
  <si>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</si>
  <si>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</si>
  <si>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</si>
  <si>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</si>
  <si>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</si>
  <si>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</si>
  <si>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</si>
  <si>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</si>
  <si>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</si>
  <si>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</si>
  <si>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</si>
  <si>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</si>
  <si>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</si>
  <si>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</si>
  <si>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</si>
  <si>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</si>
  <si>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</si>
  <si>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</si>
  <si>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</si>
  <si>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</si>
  <si>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</si>
  <si>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</si>
  <si>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</si>
  <si>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</si>
  <si>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</si>
  <si>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</si>
  <si>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</si>
  <si>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</si>
  <si>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</si>
  <si>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</si>
  <si>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</si>
  <si>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</si>
  <si>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</si>
  <si>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</si>
  <si>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</si>
  <si>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</si>
  <si>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</si>
  <si>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</si>
  <si>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</si>
  <si>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</si>
  <si>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</si>
  <si>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</si>
  <si>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</si>
  <si>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</si>
  <si>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</si>
  <si>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</si>
  <si>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</si>
  <si>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</si>
  <si>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</si>
  <si>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</si>
  <si>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</si>
  <si>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</si>
  <si>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</si>
  <si>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</si>
  <si>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</si>
  <si>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</si>
  <si>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</si>
  <si>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</si>
  <si>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</si>
  <si>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</si>
  <si>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</si>
  <si>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</si>
  <si>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</si>
  <si>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</si>
  <si>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</si>
  <si>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</si>
  <si>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</si>
  <si>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</si>
  <si>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</si>
  <si>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</si>
  <si>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</si>
  <si>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</si>
  <si>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</si>
  <si>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</si>
  <si>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</si>
  <si>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</si>
  <si>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</si>
  <si>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</si>
  <si>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</si>
  <si>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</si>
  <si>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</si>
  <si>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</si>
  <si>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</si>
  <si>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</si>
  <si>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</si>
  <si>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</si>
  <si>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</si>
  <si>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</si>
  <si>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</si>
  <si>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</si>
  <si>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</si>
  <si>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</si>
  <si>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</si>
  <si>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</si>
  <si>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</si>
  <si>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</si>
  <si>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</si>
  <si>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</si>
  <si>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</si>
  <si>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</si>
  <si>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</si>
  <si>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</si>
  <si>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</si>
  <si>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</si>
  <si>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</si>
  <si>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</si>
  <si>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</si>
  <si>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</si>
  <si>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</si>
  <si>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</si>
  <si>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</si>
  <si>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</si>
  <si>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</si>
  <si>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</si>
  <si>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</si>
  <si>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</si>
  <si>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</si>
  <si>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</si>
  <si>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</si>
  <si>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</si>
  <si>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</si>
  <si>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</si>
  <si>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</si>
  <si>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</si>
  <si>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</si>
  <si>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</si>
  <si>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</si>
  <si>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</si>
  <si>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</si>
  <si>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</si>
  <si>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</si>
  <si>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</si>
  <si>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</si>
  <si>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</si>
  <si>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</si>
  <si>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</si>
  <si>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</si>
  <si>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</si>
  <si>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</si>
  <si>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</si>
  <si>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</si>
  <si>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</si>
  <si>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</si>
  <si>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</si>
  <si>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</si>
  <si>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</si>
  <si>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</si>
  <si>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</si>
  <si>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</si>
  <si>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</si>
  <si>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</si>
  <si>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</si>
  <si>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</si>
  <si>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</si>
  <si>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</si>
  <si>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</si>
  <si>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</si>
  <si>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</si>
  <si>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</si>
  <si>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</si>
  <si>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</si>
  <si>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</si>
  <si>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</si>
  <si>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</si>
  <si>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</si>
  <si>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</si>
  <si>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</si>
  <si>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</si>
  <si>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</si>
  <si>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</si>
  <si>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</si>
  <si>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</si>
  <si>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</si>
  <si>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</si>
  <si>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</si>
  <si>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</si>
  <si>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</si>
  <si>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</si>
  <si>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</si>
  <si>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</si>
  <si>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</si>
  <si>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</si>
  <si>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</si>
  <si>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</si>
  <si>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</si>
  <si>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</si>
  <si>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</si>
  <si>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</si>
  <si>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</si>
  <si>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</si>
  <si>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</si>
  <si>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</si>
  <si>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</si>
  <si>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</si>
  <si>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</si>
  <si>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</si>
  <si>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</si>
  <si>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</si>
  <si>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</si>
  <si>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</si>
  <si>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</si>
  <si>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</si>
  <si>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</si>
  <si>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</si>
  <si>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</si>
  <si>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</si>
  <si>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</si>
  <si>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</si>
  <si>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</si>
  <si>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</si>
  <si>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</si>
  <si>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</si>
  <si>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</si>
  <si>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</si>
  <si>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</si>
  <si>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</si>
  <si>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</si>
  <si>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</si>
  <si>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</si>
  <si>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</si>
  <si>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</si>
  <si>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</si>
  <si>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</si>
  <si>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</si>
  <si>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</si>
  <si>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</si>
  <si>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</si>
  <si>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</si>
  <si>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</si>
  <si>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</si>
  <si>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</si>
  <si>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</si>
  <si>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</si>
  <si>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</si>
  <si>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</si>
  <si>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</si>
  <si>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</si>
  <si>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</si>
  <si>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</si>
  <si>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</si>
  <si>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</si>
  <si>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</si>
  <si>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</si>
  <si>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</si>
  <si>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</si>
  <si>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</si>
  <si>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</si>
  <si>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</si>
  <si>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</si>
  <si>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</si>
  <si>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</si>
  <si>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</si>
  <si>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</si>
  <si>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</si>
  <si>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</si>
  <si>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</si>
  <si>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</si>
  <si>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</si>
  <si>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</si>
  <si>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</si>
  <si>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</si>
  <si>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</si>
  <si>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</si>
  <si>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</si>
  <si>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</si>
  <si>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</si>
  <si>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</si>
  <si>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</si>
  <si>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</si>
  <si>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</si>
  <si>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</si>
  <si>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</si>
  <si>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</si>
  <si>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</si>
  <si>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</si>
  <si>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</si>
  <si>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</si>
  <si>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</si>
  <si>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</si>
  <si>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</si>
  <si>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</si>
  <si>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</si>
  <si>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</si>
  <si>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</si>
  <si>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</si>
  <si>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</si>
  <si>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</si>
  <si>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</si>
  <si>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</si>
  <si>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</si>
  <si>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</si>
  <si>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</si>
  <si>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</si>
  <si>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</si>
  <si>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</si>
  <si>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</si>
  <si>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</si>
  <si>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</si>
  <si>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</si>
  <si>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</si>
  <si>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</si>
  <si>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</si>
  <si>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</si>
  <si>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</si>
  <si>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</si>
  <si>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</si>
  <si>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</si>
  <si>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</si>
  <si>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</si>
  <si>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</si>
  <si>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</si>
  <si>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</si>
  <si>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</si>
  <si>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</si>
  <si>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</si>
  <si>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</si>
  <si>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</si>
  <si>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</si>
  <si>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</si>
  <si>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</si>
  <si>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</si>
  <si>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</si>
  <si>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</si>
  <si>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</si>
  <si>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</si>
  <si>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</si>
  <si>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</si>
  <si>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</si>
  <si>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</si>
  <si>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</si>
  <si>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</si>
  <si>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</si>
  <si>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</si>
  <si>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</si>
  <si>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</si>
  <si>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</si>
  <si>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</si>
  <si>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</si>
  <si>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</si>
  <si>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</si>
  <si>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</si>
  <si>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</si>
  <si>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</si>
  <si>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</si>
  <si>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</si>
  <si>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</si>
  <si>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</si>
  <si>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</si>
  <si>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</si>
  <si>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</si>
  <si>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</si>
  <si>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</si>
  <si>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</si>
  <si>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</si>
  <si>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</si>
  <si>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</si>
  <si>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</si>
  <si>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</si>
  <si>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</si>
  <si>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</si>
  <si>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</si>
  <si>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</si>
  <si>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</si>
  <si>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</si>
  <si>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</si>
  <si>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</si>
  <si>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</si>
  <si>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</si>
  <si>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</si>
  <si>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</si>
  <si>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</si>
  <si>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</si>
  <si>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</si>
  <si>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</si>
  <si>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</si>
  <si>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</si>
  <si>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</si>
  <si>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</si>
  <si>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</si>
  <si>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</si>
  <si>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</si>
  <si>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</si>
  <si>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</si>
  <si>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</si>
  <si>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</si>
  <si>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</si>
  <si>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</si>
  <si>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</si>
  <si>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</si>
  <si>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</si>
  <si>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</si>
  <si>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</si>
  <si>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</si>
  <si>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</si>
  <si>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</si>
  <si>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</si>
  <si>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</si>
  <si>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</si>
  <si>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</si>
  <si>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</si>
  <si>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</si>
  <si>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</si>
  <si>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</si>
  <si>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</si>
  <si>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</si>
  <si>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</si>
  <si>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</si>
  <si>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</si>
  <si>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</si>
  <si>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</si>
  <si>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</si>
  <si>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</si>
  <si>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</si>
  <si>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</si>
  <si>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</si>
  <si>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</si>
  <si>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</si>
  <si>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</si>
  <si>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</si>
  <si>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</si>
  <si>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</si>
  <si>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</si>
  <si>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</si>
  <si>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</si>
  <si>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</si>
  <si>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</si>
  <si>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</si>
  <si>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</si>
  <si>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</si>
  <si>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</si>
  <si>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</si>
  <si>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</si>
  <si>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</si>
  <si>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</si>
  <si>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</si>
  <si>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</si>
  <si>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</si>
  <si>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</si>
  <si>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</si>
  <si>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</si>
  <si>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</si>
  <si>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</si>
  <si>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</si>
  <si>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</si>
  <si>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</si>
  <si>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</si>
  <si>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</si>
  <si>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</si>
  <si>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</si>
  <si>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</si>
  <si>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</si>
  <si>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</si>
  <si>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</si>
  <si>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</si>
  <si>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</si>
  <si>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</si>
  <si>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</si>
  <si>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</si>
  <si>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</si>
  <si>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</si>
  <si>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</si>
  <si>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</si>
  <si>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</si>
  <si>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</si>
  <si>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</si>
  <si>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</si>
  <si>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</si>
  <si>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</si>
  <si>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</si>
  <si>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</si>
  <si>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</si>
  <si>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</si>
  <si>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</si>
  <si>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</si>
  <si>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</si>
  <si>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</si>
  <si>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</si>
  <si>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</si>
  <si>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</si>
  <si>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</si>
  <si>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</si>
  <si>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</si>
  <si>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</si>
  <si>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</si>
  <si>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</si>
  <si>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</si>
  <si>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</si>
  <si>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</si>
  <si>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</si>
  <si>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</si>
  <si>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</si>
  <si>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</si>
  <si>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</si>
  <si>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</si>
  <si>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</si>
  <si>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</si>
  <si>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</si>
  <si>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</si>
  <si>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</si>
  <si>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</si>
  <si>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</si>
  <si>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</si>
  <si>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</si>
  <si>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</si>
  <si>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</si>
  <si>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</si>
  <si>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</si>
  <si>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</si>
  <si>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</si>
  <si>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</si>
  <si>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</si>
  <si>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</si>
  <si>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</si>
  <si>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</si>
  <si>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</si>
  <si>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</si>
  <si>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</si>
  <si>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</si>
  <si>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</si>
  <si>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</si>
  <si>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</si>
  <si>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</si>
  <si>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</si>
  <si>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</si>
  <si>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</si>
  <si>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</si>
  <si>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</si>
  <si>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</si>
  <si>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</si>
  <si>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</si>
  <si>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</si>
  <si>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</si>
  <si>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</si>
  <si>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</si>
  <si>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</si>
  <si>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</si>
  <si>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</si>
  <si>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</si>
  <si>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</si>
  <si>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</si>
  <si>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</si>
  <si>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</si>
  <si>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</si>
  <si>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</si>
  <si>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</si>
  <si>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</si>
  <si>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</si>
  <si>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</si>
  <si>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</si>
  <si>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</si>
  <si>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</si>
  <si>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</si>
  <si>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</si>
  <si>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</si>
  <si>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</si>
  <si>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</si>
  <si>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</si>
  <si>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</si>
  <si>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</si>
  <si>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</si>
  <si>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</si>
  <si>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</si>
  <si>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</si>
  <si>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</si>
  <si>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</si>
  <si>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</si>
  <si>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</si>
  <si>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</si>
  <si>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</si>
  <si>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</si>
  <si>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</si>
  <si>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</si>
  <si>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</si>
  <si>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</si>
  <si>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</si>
  <si>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</si>
  <si>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</si>
  <si>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</si>
  <si>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</si>
  <si>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</si>
  <si>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</si>
  <si>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</si>
  <si>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</si>
  <si>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</si>
  <si>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</si>
  <si>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</si>
  <si>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</si>
  <si>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</si>
  <si>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</si>
  <si>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</si>
  <si>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</si>
  <si>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</si>
  <si>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</si>
  <si>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</si>
  <si>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</si>
  <si>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</si>
  <si>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</si>
  <si>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</si>
  <si>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</si>
  <si>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</si>
  <si>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</si>
  <si>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</si>
  <si>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</si>
  <si>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</si>
  <si>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</si>
  <si>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</si>
  <si>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</si>
  <si>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</si>
  <si>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</si>
  <si>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</si>
  <si>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</si>
  <si>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</si>
  <si>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</si>
  <si>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</si>
  <si>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</si>
  <si>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</si>
  <si>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</si>
  <si>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</si>
  <si>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</si>
  <si>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</si>
  <si>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</si>
  <si>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</si>
  <si>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</si>
  <si>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</si>
  <si>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</si>
  <si>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</si>
  <si>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</si>
  <si>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</si>
  <si>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</si>
  <si>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</si>
  <si>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</si>
  <si>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</si>
  <si>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</si>
  <si>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</si>
  <si>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</si>
  <si>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</si>
  <si>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</si>
  <si>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</si>
  <si>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</si>
  <si>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</si>
  <si>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</si>
  <si>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</si>
  <si>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</si>
  <si>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</si>
  <si>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</si>
  <si>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</si>
  <si>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</si>
  <si>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</si>
  <si>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</si>
  <si>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</si>
  <si>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</si>
  <si>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</si>
  <si>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</si>
  <si>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</si>
  <si>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</si>
  <si>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</si>
  <si>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</si>
  <si>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</si>
  <si>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</si>
  <si>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</si>
  <si>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</si>
  <si>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</si>
  <si>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</si>
  <si>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</si>
  <si>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</si>
  <si>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</si>
  <si>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</si>
  <si>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</si>
  <si>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</si>
  <si>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</si>
  <si>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</si>
  <si>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</si>
  <si>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</si>
  <si>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</si>
  <si>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</si>
  <si>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</si>
  <si>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</si>
  <si>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</si>
  <si>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</si>
  <si>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</si>
  <si>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</si>
  <si>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</si>
  <si>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</si>
  <si>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</si>
  <si>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</si>
  <si>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</si>
  <si>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</si>
  <si>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</si>
  <si>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</si>
  <si>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</si>
  <si>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</si>
  <si>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</si>
  <si>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</si>
  <si>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</si>
  <si>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</si>
  <si>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</si>
  <si>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</si>
  <si>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</si>
  <si>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</si>
  <si>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</si>
  <si>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</si>
  <si>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</si>
  <si>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</si>
  <si>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</si>
  <si>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</si>
  <si>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</si>
  <si>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</si>
  <si>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</si>
  <si>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</si>
  <si>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</si>
  <si>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</si>
  <si>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</si>
  <si>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</si>
  <si>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</si>
  <si>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</si>
  <si>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</si>
  <si>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</si>
  <si>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</si>
  <si>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</si>
  <si>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</si>
  <si>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</si>
  <si>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</si>
  <si>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</si>
  <si>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</si>
  <si>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</si>
  <si>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</si>
  <si>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</si>
  <si>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</si>
  <si>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</si>
  <si>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</si>
  <si>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</si>
  <si>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</si>
  <si>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</si>
  <si>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</si>
  <si>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</si>
  <si>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</si>
  <si>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</si>
  <si>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</si>
  <si>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</si>
  <si>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</si>
  <si>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</si>
  <si>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</si>
  <si>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</si>
  <si>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</si>
  <si>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</si>
  <si>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</si>
  <si>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</si>
  <si>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</si>
  <si>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</si>
  <si>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</si>
  <si>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</si>
  <si>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</si>
  <si>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</si>
  <si>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</si>
  <si>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</si>
  <si>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</si>
  <si>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</si>
  <si>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</si>
  <si>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</si>
  <si>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</si>
  <si>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</si>
  <si>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</si>
  <si>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</si>
  <si>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</si>
  <si>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</si>
  <si>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</si>
  <si>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</si>
  <si>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</si>
  <si>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</si>
  <si>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</si>
  <si>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</si>
  <si>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</si>
  <si>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</si>
  <si>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</si>
  <si>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</si>
  <si>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</si>
  <si>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</si>
  <si>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</si>
  <si>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</si>
  <si>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</si>
  <si>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</si>
  <si>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</si>
  <si>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</si>
  <si>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</si>
  <si>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</si>
  <si>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</si>
  <si>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</si>
  <si>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</si>
  <si>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</si>
  <si>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</si>
  <si>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</si>
  <si>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</si>
  <si>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</si>
  <si>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</si>
  <si>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</si>
  <si>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</si>
  <si>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</si>
  <si>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</si>
  <si>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</si>
  <si>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</si>
  <si>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</si>
  <si>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</si>
  <si>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</si>
  <si>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</si>
  <si>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</si>
  <si>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</si>
  <si>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</si>
  <si>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</si>
  <si>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</si>
  <si>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</si>
  <si>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</si>
  <si>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</si>
  <si>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</si>
  <si>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</si>
  <si>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</si>
  <si>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</si>
  <si>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</si>
  <si>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</si>
  <si>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</si>
  <si>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</si>
  <si>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</si>
  <si>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</si>
  <si>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</si>
  <si>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</si>
  <si>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</si>
  <si>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</si>
  <si>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</si>
  <si>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</si>
  <si>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</si>
  <si>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</si>
  <si>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</si>
  <si>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</si>
  <si>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</si>
  <si>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</si>
  <si>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</si>
  <si>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</si>
  <si>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</si>
  <si>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</si>
  <si>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</si>
  <si>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</si>
  <si>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</si>
  <si>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</si>
  <si>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</si>
  <si>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</si>
  <si>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</si>
  <si>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</si>
  <si>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</si>
  <si>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</si>
  <si>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</si>
  <si>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</si>
  <si>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</si>
  <si>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</si>
  <si>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</si>
  <si>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</si>
  <si>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</si>
  <si>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</si>
  <si>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</si>
  <si>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</si>
  <si>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</si>
  <si>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</si>
  <si>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</si>
  <si>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</si>
  <si>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</si>
  <si>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</si>
  <si>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</si>
  <si>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</si>
  <si>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</si>
  <si>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</si>
  <si>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</si>
  <si>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</si>
  <si>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</si>
  <si>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</si>
  <si>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</si>
  <si>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</si>
  <si>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</si>
  <si>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</si>
  <si>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</si>
  <si>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</si>
  <si>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</si>
  <si>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</si>
  <si>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</si>
  <si>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</si>
  <si>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</si>
  <si>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</si>
  <si>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</si>
  <si>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</si>
  <si>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</si>
  <si>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</si>
  <si>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</si>
  <si>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</si>
  <si>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</si>
  <si>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</si>
  <si>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</si>
  <si>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</si>
  <si>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</si>
  <si>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</si>
  <si>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</si>
  <si>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</si>
  <si>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</si>
  <si>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</si>
  <si>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</si>
  <si>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</si>
  <si>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</si>
  <si>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</si>
  <si>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</si>
  <si>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</si>
  <si>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</si>
  <si>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</si>
  <si>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</si>
  <si>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</si>
  <si>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</si>
  <si>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</si>
  <si>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</si>
  <si>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</si>
  <si>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</si>
  <si>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</si>
  <si>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</si>
  <si>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</si>
  <si>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</si>
  <si>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</si>
  <si>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</si>
  <si>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</si>
  <si>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</si>
  <si>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</si>
  <si>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</si>
  <si>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</si>
  <si>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</si>
  <si>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</si>
  <si>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</si>
  <si>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</si>
  <si>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</si>
  <si>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</si>
  <si>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</si>
  <si>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</si>
  <si>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</si>
  <si>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</si>
  <si>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</si>
  <si>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</si>
  <si>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</si>
  <si>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</si>
  <si>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</si>
  <si>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</si>
  <si>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</si>
  <si>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</si>
  <si>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</si>
  <si>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</si>
  <si>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</si>
  <si>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</si>
  <si>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</si>
  <si>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</si>
  <si>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</si>
  <si>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</si>
  <si>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</si>
  <si>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</si>
  <si>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</si>
  <si>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</si>
  <si>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</si>
  <si>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</si>
  <si>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</si>
  <si>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</si>
  <si>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</si>
  <si>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</si>
  <si>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</si>
  <si>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</si>
  <si>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</si>
  <si>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</si>
  <si>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</si>
  <si>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</si>
  <si>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</si>
  <si>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</si>
  <si>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</si>
  <si>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</si>
  <si>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</si>
  <si>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</si>
  <si>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</si>
  <si>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</si>
  <si>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</si>
  <si>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</si>
  <si>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</si>
  <si>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</si>
  <si>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</si>
  <si>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</si>
  <si>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</si>
  <si>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</si>
  <si>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</si>
  <si>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</si>
  <si>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</si>
  <si>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</si>
  <si>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</si>
  <si>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</si>
  <si>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</si>
  <si>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</si>
  <si>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</si>
  <si>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</si>
  <si>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</si>
  <si>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</si>
  <si>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</si>
  <si>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</si>
  <si>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</si>
  <si>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</si>
  <si>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</si>
  <si>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</si>
  <si>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</si>
  <si>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</si>
  <si>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</si>
  <si>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</si>
  <si>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</si>
  <si>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</si>
  <si>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</si>
  <si>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</si>
  <si>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</si>
  <si>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</si>
  <si>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</si>
  <si>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</si>
  <si>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</si>
  <si>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</si>
  <si>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</si>
  <si>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</si>
  <si>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</si>
  <si>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</si>
  <si>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</si>
  <si>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</si>
  <si>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</si>
  <si>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</si>
  <si>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</si>
  <si>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</si>
  <si>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</si>
  <si>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</si>
  <si>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</si>
  <si>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</si>
  <si>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</si>
  <si>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</si>
  <si>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</si>
  <si>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</si>
  <si>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</si>
  <si>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</si>
  <si>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</si>
  <si>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</si>
  <si>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</si>
  <si>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</si>
  <si>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</si>
  <si>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</si>
  <si>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</si>
  <si>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</si>
  <si>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</si>
  <si>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</si>
  <si>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</si>
  <si>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</si>
  <si>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</si>
  <si>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</si>
  <si>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</si>
  <si>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</si>
  <si>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</si>
  <si>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</si>
  <si>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</si>
  <si>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</si>
  <si>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</si>
  <si>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</si>
  <si>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</si>
  <si>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</si>
  <si>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</si>
  <si>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</si>
  <si>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</si>
  <si>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</si>
  <si>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</si>
  <si>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</si>
  <si>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</si>
  <si>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</si>
  <si>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</si>
  <si>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</si>
  <si>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</si>
  <si>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</si>
  <si>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</si>
  <si>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</si>
  <si>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</si>
  <si>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</si>
  <si>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</si>
  <si>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</si>
  <si>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</si>
  <si>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</si>
  <si>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</si>
  <si>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</si>
  <si>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</si>
  <si>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</si>
  <si>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</si>
  <si>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</si>
  <si>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</si>
  <si>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</si>
  <si>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</si>
  <si>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</si>
  <si>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</si>
  <si>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</si>
  <si>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</si>
  <si>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</si>
  <si>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</si>
  <si>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</si>
  <si>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</si>
  <si>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</si>
  <si>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</si>
  <si>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</si>
  <si>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</si>
  <si>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</si>
  <si>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</si>
  <si>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</si>
  <si>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</si>
  <si>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</si>
  <si>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</si>
  <si>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</si>
  <si>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</si>
  <si>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</si>
  <si>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</si>
  <si>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</si>
  <si>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</si>
  <si>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</si>
  <si>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</si>
  <si>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</si>
  <si>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</si>
  <si>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</si>
  <si>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</si>
  <si>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</si>
  <si>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</si>
  <si>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</si>
  <si>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</si>
  <si>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</si>
  <si>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</si>
  <si>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</si>
  <si>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</si>
  <si>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</si>
  <si>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</si>
  <si>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</si>
  <si>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</si>
  <si>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</si>
  <si>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</si>
  <si>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</si>
  <si>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</si>
  <si>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</si>
  <si>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</si>
  <si>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</si>
  <si>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</si>
  <si>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</si>
  <si>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</si>
  <si>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</si>
  <si>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</si>
  <si>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</si>
  <si>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</si>
  <si>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</si>
  <si>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</si>
  <si>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</si>
  <si>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</si>
  <si>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</si>
  <si>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</si>
  <si>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</si>
  <si>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</si>
  <si>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</si>
  <si>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</si>
  <si>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</si>
  <si>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</si>
  <si>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</si>
  <si>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</si>
  <si>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</si>
  <si>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</si>
  <si>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</si>
  <si>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</si>
  <si>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</si>
  <si>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</si>
  <si>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</si>
  <si>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</si>
  <si>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</si>
  <si>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</si>
  <si>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</si>
  <si>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</si>
  <si>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</si>
  <si>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</si>
  <si>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</si>
  <si>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</si>
  <si>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</si>
  <si>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</si>
  <si>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</si>
  <si>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</si>
  <si>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</si>
  <si>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</si>
  <si>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</si>
  <si>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</si>
  <si>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</si>
  <si>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</si>
  <si>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</si>
  <si>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</si>
  <si>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</si>
  <si>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</si>
  <si>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</si>
  <si>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</si>
  <si>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</si>
  <si>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</si>
  <si>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</si>
  <si>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</si>
  <si>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</si>
  <si>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</si>
  <si>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</si>
  <si>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</si>
  <si>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</si>
  <si>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</si>
  <si>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</si>
  <si>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</si>
  <si>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</si>
  <si>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</si>
  <si>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</si>
  <si>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</si>
  <si>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</si>
  <si>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</si>
  <si>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</si>
  <si>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</si>
  <si>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</si>
  <si>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</si>
  <si>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</si>
  <si>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</si>
  <si>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</si>
  <si>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</si>
  <si>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</si>
  <si>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</si>
  <si>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</si>
  <si>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</si>
  <si>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</si>
  <si>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</si>
  <si>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</si>
  <si>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</si>
  <si>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</si>
  <si>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</si>
  <si>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</si>
  <si>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</si>
  <si>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</si>
  <si>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</si>
  <si>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</si>
  <si>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</si>
  <si>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</si>
  <si>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</si>
  <si>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</si>
  <si>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</si>
  <si>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</si>
  <si>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</si>
  <si>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</si>
  <si>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</si>
  <si>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</si>
  <si>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</si>
  <si>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</si>
  <si>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</si>
  <si>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</si>
  <si>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</si>
  <si>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</si>
  <si>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</si>
  <si>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</si>
  <si>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</si>
  <si>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</si>
  <si>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</si>
  <si>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</si>
  <si>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</si>
  <si>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</si>
  <si>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</si>
  <si>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</si>
  <si>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</si>
  <si>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</si>
  <si>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</si>
  <si>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</si>
  <si>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</si>
  <si>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</si>
  <si>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</si>
  <si>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</si>
  <si>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</si>
  <si>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</si>
  <si>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</si>
  <si>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</si>
  <si>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</si>
  <si>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</si>
  <si>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</si>
  <si>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</si>
  <si>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</si>
  <si>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</si>
  <si>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</si>
  <si>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</si>
  <si>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</si>
  <si>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</si>
  <si>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</si>
  <si>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</si>
  <si>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</si>
  <si>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</si>
  <si>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</si>
  <si>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</si>
  <si>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</si>
  <si>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</si>
  <si>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</si>
  <si>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</si>
  <si>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</si>
  <si>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</si>
  <si>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</si>
  <si>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</si>
  <si>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</si>
  <si>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</si>
  <si>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</si>
  <si>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</si>
  <si>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</si>
  <si>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</si>
  <si>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</si>
  <si>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</si>
  <si>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</si>
  <si>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</si>
  <si>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</si>
  <si>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</si>
  <si>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</si>
  <si>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</si>
  <si>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</si>
  <si>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</si>
  <si>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</si>
  <si>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</si>
  <si>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</si>
  <si>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</si>
  <si>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</si>
  <si>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</si>
  <si>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</si>
  <si>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</si>
  <si>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</si>
  <si>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</si>
  <si>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</si>
  <si>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</si>
  <si>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</si>
  <si>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</si>
  <si>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</si>
  <si>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</si>
  <si>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</si>
  <si>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</si>
  <si>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</si>
  <si>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</si>
  <si>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</si>
  <si>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</si>
  <si>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</si>
  <si>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</si>
  <si>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</si>
  <si>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</si>
  <si>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</si>
  <si>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</si>
  <si>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</si>
  <si>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</si>
  <si>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</si>
  <si>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</si>
  <si>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</si>
  <si>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</si>
  <si>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</si>
  <si>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</si>
  <si>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</si>
  <si>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</si>
  <si>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</si>
  <si>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</si>
  <si>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</si>
  <si>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</si>
  <si>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</si>
  <si>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</si>
  <si>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</si>
  <si>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</si>
  <si>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</si>
  <si>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</si>
  <si>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</si>
  <si>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</si>
  <si>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</si>
  <si>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</si>
  <si>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</si>
  <si>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</si>
  <si>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</si>
  <si>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</si>
  <si>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</si>
  <si>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</si>
  <si>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</si>
  <si>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</si>
  <si>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</si>
  <si>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</si>
  <si>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</si>
  <si>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</si>
  <si>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</si>
  <si>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</si>
  <si>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</si>
  <si>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</si>
  <si>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</si>
  <si>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</si>
  <si>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</si>
  <si>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</si>
  <si>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</si>
  <si>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</si>
  <si>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</si>
  <si>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</si>
  <si>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</si>
  <si>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</si>
  <si>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</si>
  <si>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</si>
  <si>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</si>
  <si>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</si>
  <si>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</si>
  <si>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</si>
  <si>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</si>
  <si>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</si>
  <si>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</si>
  <si>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</si>
  <si>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</si>
  <si>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</si>
  <si>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</si>
  <si>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</si>
  <si>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</si>
  <si>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</si>
  <si>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</si>
  <si>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</si>
  <si>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</si>
  <si>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</si>
  <si>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</si>
  <si>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</si>
  <si>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</si>
  <si>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</si>
  <si>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</si>
  <si>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</si>
  <si>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</si>
  <si>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</si>
  <si>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</si>
  <si>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</si>
  <si>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</si>
  <si>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</si>
  <si>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</si>
  <si>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</si>
  <si>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</si>
  <si>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</si>
  <si>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</si>
  <si>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</si>
  <si>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</si>
  <si>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</si>
  <si>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</si>
  <si>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</si>
  <si>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</si>
  <si>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</si>
  <si>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</si>
  <si>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</si>
  <si>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</si>
  <si>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</si>
  <si>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</si>
  <si>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</si>
  <si>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</si>
  <si>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</si>
  <si>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</si>
  <si>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</si>
  <si>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</si>
  <si>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</si>
  <si>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</si>
  <si>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</si>
  <si>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</si>
  <si>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</si>
  <si>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</si>
  <si>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</si>
  <si>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</si>
  <si>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</si>
  <si>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</si>
  <si>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</si>
  <si>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</si>
  <si>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</si>
  <si>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</si>
  <si>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</si>
  <si>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</si>
  <si>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</si>
  <si>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</si>
  <si>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</si>
  <si>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</si>
  <si>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</si>
  <si>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</si>
  <si>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</si>
  <si>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</si>
  <si>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</si>
  <si>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</si>
  <si>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</si>
  <si>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</si>
  <si>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</si>
  <si>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</si>
  <si>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</si>
  <si>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</si>
  <si>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</si>
  <si>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</si>
  <si>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</si>
  <si>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</si>
  <si>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</si>
  <si>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</si>
  <si>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</si>
  <si>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</si>
  <si>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</si>
  <si>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</si>
  <si>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</si>
  <si>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</si>
  <si>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</si>
  <si>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</si>
  <si>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</si>
  <si>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</si>
  <si>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</si>
  <si>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</si>
  <si>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</si>
  <si>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</si>
  <si>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</si>
  <si>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</si>
  <si>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</si>
  <si>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</si>
  <si>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</si>
  <si>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</si>
  <si>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</si>
  <si>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</si>
  <si>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</si>
  <si>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</si>
  <si>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</si>
  <si>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</si>
  <si>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</si>
  <si>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</si>
  <si>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</si>
  <si>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</si>
  <si>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</si>
  <si>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</si>
  <si>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</si>
  <si>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</si>
  <si>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</si>
  <si>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</si>
  <si>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</si>
  <si>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</si>
  <si>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</si>
  <si>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</si>
  <si>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</si>
  <si>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</si>
  <si>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</si>
  <si>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</si>
  <si>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</si>
  <si>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</si>
  <si>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</si>
  <si>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</si>
  <si>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</si>
  <si>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</si>
  <si>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</si>
  <si>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</si>
  <si>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</si>
  <si>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</si>
  <si>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</si>
  <si>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</si>
  <si>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</si>
  <si>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</si>
  <si>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</si>
  <si>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</si>
  <si>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</si>
  <si>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</si>
  <si>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</si>
  <si>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</si>
  <si>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</si>
  <si>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</si>
  <si>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</si>
  <si>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</si>
  <si>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</si>
  <si>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</si>
  <si>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</si>
  <si>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</si>
  <si>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</si>
  <si>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</si>
  <si>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</si>
  <si>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</si>
  <si>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</si>
  <si>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</si>
  <si>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</si>
  <si>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</si>
  <si>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</si>
  <si>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</si>
  <si>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</si>
  <si>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</si>
  <si>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</si>
  <si>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</si>
  <si>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</si>
  <si>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</si>
  <si>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</si>
  <si>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</si>
  <si>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</si>
  <si>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</si>
  <si>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</si>
  <si>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</si>
  <si>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</si>
  <si>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</si>
  <si>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</si>
  <si>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</si>
  <si>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</si>
  <si>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</si>
  <si>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</si>
  <si>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</si>
  <si>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</si>
  <si>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</si>
  <si>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</si>
  <si>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</si>
  <si>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</si>
  <si>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</si>
  <si>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</si>
  <si>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</si>
  <si>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</si>
  <si>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</si>
  <si>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</si>
  <si>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</si>
  <si>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</si>
  <si>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</si>
  <si>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</si>
  <si>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</si>
  <si>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</si>
  <si>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</si>
  <si>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</si>
  <si>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</si>
  <si>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</si>
  <si>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</si>
  <si>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</si>
  <si>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</si>
  <si>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</si>
  <si>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</si>
  <si>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</si>
  <si>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</si>
  <si>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</si>
  <si>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</si>
  <si>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</si>
  <si>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</si>
  <si>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</si>
  <si>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</si>
  <si>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</si>
  <si>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</si>
  <si>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</si>
  <si>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</si>
  <si>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</si>
  <si>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</si>
  <si>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</si>
  <si>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</si>
  <si>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</si>
  <si>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</si>
  <si>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</si>
  <si>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</si>
  <si>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</si>
  <si>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</si>
  <si>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</si>
  <si>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</si>
  <si>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</si>
  <si>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</si>
  <si>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</si>
  <si>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</si>
  <si>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</si>
  <si>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</si>
  <si>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</si>
  <si>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</si>
  <si>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</si>
  <si>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</si>
  <si>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</si>
  <si>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</si>
  <si>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</si>
  <si>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</si>
  <si>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</si>
  <si>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</si>
  <si>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</si>
  <si>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</si>
  <si>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</si>
  <si>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</si>
  <si>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</si>
  <si>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</si>
  <si>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</si>
  <si>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</si>
  <si>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</si>
  <si>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</si>
  <si>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</si>
  <si>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</si>
  <si>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</si>
  <si>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</si>
  <si>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</si>
  <si>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</si>
  <si>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</si>
  <si>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</si>
  <si>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</si>
  <si>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</si>
  <si>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</si>
  <si>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</si>
  <si>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</si>
  <si>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</si>
  <si>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</si>
  <si>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</si>
  <si>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</si>
  <si>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</si>
  <si>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</si>
  <si>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</si>
  <si>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</si>
  <si>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</si>
  <si>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</si>
  <si>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</si>
  <si>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</si>
  <si>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</si>
  <si>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</si>
  <si>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</si>
  <si>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</si>
  <si>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</si>
  <si>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</si>
  <si>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</si>
  <si>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</si>
  <si>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</si>
  <si>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</si>
  <si>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</si>
  <si>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</si>
  <si>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</si>
  <si>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</si>
  <si>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</si>
  <si>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</si>
  <si>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</si>
  <si>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</si>
  <si>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</si>
  <si>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</si>
  <si>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</si>
  <si>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</si>
  <si>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</si>
  <si>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</si>
  <si>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</si>
  <si>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</si>
  <si>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</si>
  <si>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</si>
  <si>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</si>
  <si>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</si>
  <si>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</si>
  <si>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</si>
  <si>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</si>
  <si>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</si>
  <si>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</si>
  <si>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</si>
  <si>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</si>
  <si>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</si>
  <si>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</si>
  <si>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</si>
  <si>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</si>
  <si>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</si>
  <si>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</si>
  <si>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</si>
  <si>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</si>
  <si>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</si>
  <si>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</si>
  <si>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</si>
  <si>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</si>
  <si>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</si>
  <si>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</si>
  <si>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</si>
  <si>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</si>
  <si>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</si>
  <si>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</si>
  <si>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</si>
  <si>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</si>
  <si>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</si>
  <si>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</si>
  <si>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</si>
  <si>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</si>
  <si>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</si>
  <si>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</si>
  <si>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</si>
  <si>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</si>
  <si>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</si>
  <si>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</si>
  <si>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</si>
  <si>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</si>
  <si>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</si>
  <si>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</si>
  <si>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</si>
  <si>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</si>
  <si>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</si>
  <si>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</si>
  <si>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</si>
  <si>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</si>
  <si>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</si>
  <si>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</si>
  <si>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</si>
  <si>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</si>
  <si>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</si>
  <si>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</si>
  <si>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</si>
  <si>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</si>
  <si>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</si>
  <si>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</si>
  <si>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</si>
  <si>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</si>
  <si>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</si>
  <si>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</si>
  <si>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</si>
  <si>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</si>
  <si>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</si>
  <si>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</si>
  <si>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</si>
  <si>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</si>
  <si>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</si>
  <si>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</si>
  <si>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</si>
  <si>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</si>
  <si>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</si>
  <si>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</si>
  <si>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</si>
  <si>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</si>
  <si>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</si>
  <si>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</si>
  <si>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</si>
  <si>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</si>
  <si>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</si>
  <si>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</si>
  <si>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</si>
  <si>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</si>
  <si>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</si>
  <si>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</si>
  <si>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</si>
  <si>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</si>
  <si>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</si>
  <si>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</si>
  <si>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</si>
  <si>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</si>
  <si>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</si>
  <si>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</si>
  <si>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</si>
  <si>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</si>
  <si>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</si>
  <si>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</si>
  <si>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</si>
  <si>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</si>
  <si>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</si>
  <si>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</si>
  <si>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</si>
  <si>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</si>
  <si>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</si>
  <si>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</si>
  <si>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</si>
  <si>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</si>
  <si>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</si>
  <si>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</si>
  <si>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</si>
  <si>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</si>
  <si>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</si>
  <si>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</si>
  <si>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</si>
  <si>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</si>
  <si>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</si>
  <si>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</si>
  <si>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</si>
  <si>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</si>
  <si>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</si>
  <si>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</si>
  <si>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</si>
  <si>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</si>
  <si>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</si>
  <si>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</si>
  <si>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</si>
  <si>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</si>
  <si>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</si>
  <si>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</si>
  <si>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</si>
  <si>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</si>
  <si>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</si>
  <si>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</si>
  <si>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</si>
  <si>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</si>
  <si>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</si>
  <si>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</si>
  <si>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</si>
  <si>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</si>
  <si>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</si>
  <si>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</si>
  <si>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</si>
  <si>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</si>
  <si>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</si>
  <si>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</si>
  <si>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</si>
  <si>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</si>
  <si>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</si>
  <si>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</si>
  <si>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</si>
  <si>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</si>
  <si>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</si>
  <si>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</si>
  <si>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</si>
  <si>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</si>
  <si>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</si>
  <si>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</si>
  <si>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</si>
  <si>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</si>
  <si>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</si>
  <si>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</si>
  <si>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</si>
  <si>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</si>
  <si>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</si>
  <si>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</si>
  <si>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</si>
  <si>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</si>
  <si>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</si>
  <si>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</si>
  <si>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</si>
  <si>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</si>
  <si>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</si>
  <si>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</si>
  <si>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</si>
  <si>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</si>
  <si>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</si>
  <si>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</si>
  <si>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</si>
  <si>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</si>
  <si>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</si>
  <si>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</si>
  <si>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</si>
  <si>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</si>
  <si>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</si>
  <si>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</si>
  <si>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</si>
  <si>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</si>
  <si>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</si>
  <si>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</si>
  <si>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</si>
  <si>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</si>
  <si>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</si>
  <si>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</si>
  <si>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</si>
  <si>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</si>
  <si>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</si>
  <si>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</si>
  <si>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</si>
  <si>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</si>
  <si>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</si>
  <si>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</si>
  <si>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</si>
  <si>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</si>
  <si>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</si>
  <si>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</si>
  <si>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</si>
  <si>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</si>
  <si>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</si>
  <si>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</si>
  <si>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</si>
  <si>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</si>
  <si>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</si>
  <si>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</si>
  <si>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</si>
  <si>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</si>
  <si>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</si>
  <si>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</si>
  <si>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</si>
  <si>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</si>
  <si>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</si>
  <si>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</si>
  <si>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</si>
  <si>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</si>
  <si>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</si>
  <si>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</si>
  <si>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</si>
  <si>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</si>
  <si>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</si>
  <si>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</si>
  <si>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</si>
  <si>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</si>
  <si>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</si>
  <si>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</si>
  <si>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</si>
  <si>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</si>
  <si>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</si>
  <si>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</si>
  <si>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</si>
  <si>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</si>
  <si>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</si>
  <si>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</si>
  <si>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</si>
  <si>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</si>
  <si>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</si>
  <si>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</si>
  <si>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</si>
  <si>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</si>
  <si>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</si>
  <si>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</si>
  <si>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</si>
  <si>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</si>
  <si>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</si>
  <si>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</si>
  <si>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</si>
  <si>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</si>
  <si>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</si>
  <si>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</si>
  <si>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</si>
  <si>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</si>
  <si>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</si>
  <si>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</si>
  <si>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</si>
  <si>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</si>
  <si>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</si>
  <si>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</si>
  <si>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</si>
  <si>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</si>
  <si>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</si>
  <si>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</si>
  <si>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</si>
  <si>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</si>
  <si>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</si>
  <si>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</si>
  <si>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</si>
  <si>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</si>
  <si>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</si>
  <si>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</si>
  <si>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</si>
  <si>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</si>
  <si>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</si>
  <si>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</si>
  <si>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</si>
  <si>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</si>
  <si>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</si>
  <si>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</si>
  <si>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</si>
  <si>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</si>
  <si>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</si>
  <si>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</si>
  <si>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</si>
  <si>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</si>
  <si>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</si>
  <si>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</si>
  <si>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</si>
  <si>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</si>
  <si>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</si>
  <si>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</si>
  <si>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</si>
  <si>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</si>
  <si>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</si>
  <si>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</si>
  <si>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</si>
  <si>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</si>
  <si>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</si>
  <si>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</si>
  <si>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</si>
  <si>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</si>
  <si>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</si>
  <si>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</si>
  <si>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</si>
  <si>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</si>
  <si>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</si>
  <si>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</si>
  <si>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</si>
  <si>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</si>
  <si>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</si>
  <si>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</si>
  <si>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</si>
  <si>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</si>
  <si>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</si>
  <si>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</si>
  <si>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</si>
  <si>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</si>
  <si>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</si>
  <si>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</si>
  <si>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</si>
  <si>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</si>
  <si>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</si>
  <si>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</si>
  <si>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</si>
  <si>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</si>
  <si>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</si>
  <si>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</si>
  <si>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</si>
  <si>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</si>
  <si>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</si>
  <si>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</si>
  <si>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</si>
  <si>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</si>
  <si>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</si>
  <si>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</si>
  <si>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</si>
  <si>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</si>
  <si>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</si>
  <si>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</si>
  <si>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</si>
  <si>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</si>
  <si>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</si>
  <si>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</si>
  <si>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</si>
  <si>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</si>
  <si>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</si>
  <si>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</si>
  <si>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</si>
  <si>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</si>
  <si>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</si>
  <si>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</si>
  <si>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</si>
  <si>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</si>
  <si>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</si>
  <si>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</si>
  <si>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</si>
  <si>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</si>
  <si>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</si>
  <si>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</si>
  <si>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</si>
  <si>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</si>
  <si>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</si>
  <si>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</si>
  <si>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</si>
  <si>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</si>
  <si>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</si>
  <si>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</si>
  <si>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</si>
  <si>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</si>
  <si>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</si>
  <si>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</si>
  <si>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</si>
  <si>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</si>
  <si>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</si>
  <si>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</si>
  <si>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</si>
  <si>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</si>
  <si>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</si>
  <si>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</si>
  <si>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</si>
  <si>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</si>
  <si>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</si>
  <si>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</si>
  <si>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</si>
  <si>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</si>
  <si>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</si>
  <si>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</si>
  <si>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</si>
  <si>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</si>
  <si>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</si>
  <si>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</si>
  <si>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</si>
  <si>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</si>
  <si>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</si>
  <si>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</si>
  <si>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</si>
  <si>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</si>
  <si>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</si>
  <si>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</si>
  <si>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</si>
  <si>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</si>
  <si>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</si>
  <si>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</si>
  <si>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</si>
  <si>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</si>
  <si>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</si>
  <si>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</si>
  <si>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</si>
  <si>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</si>
  <si>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</si>
  <si>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</si>
  <si>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</si>
  <si>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</si>
  <si>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</si>
  <si>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</si>
  <si>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</si>
  <si>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</si>
  <si>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</si>
  <si>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</si>
  <si>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</si>
  <si>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</si>
  <si>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</si>
  <si>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</si>
  <si>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</si>
  <si>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</si>
  <si>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</si>
  <si>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</si>
  <si>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</si>
  <si>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</si>
  <si>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</si>
  <si>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</si>
  <si>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</si>
  <si>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</si>
  <si>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</si>
  <si>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</si>
  <si>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</si>
  <si>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</si>
  <si>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</si>
  <si>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</si>
  <si>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</si>
  <si>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</si>
  <si>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</si>
  <si>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</si>
  <si>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</si>
  <si>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</si>
  <si>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</si>
  <si>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</si>
  <si>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</si>
  <si>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</si>
  <si>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</si>
  <si>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</si>
  <si>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</si>
  <si>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</si>
  <si>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</si>
  <si>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</si>
  <si>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</si>
  <si>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</si>
  <si>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</si>
  <si>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</si>
  <si>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</si>
  <si>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</si>
  <si>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</si>
  <si>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</si>
  <si>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</si>
  <si>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</si>
  <si>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</si>
  <si>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</si>
  <si>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</si>
  <si>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</si>
  <si>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</si>
  <si>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</si>
  <si>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</si>
  <si>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</si>
  <si>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</si>
  <si>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</si>
  <si>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</si>
  <si>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</si>
  <si>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</si>
  <si>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</si>
  <si>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</si>
  <si>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</si>
  <si>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</si>
  <si>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</si>
  <si>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</si>
  <si>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</si>
  <si>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</si>
  <si>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</si>
  <si>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</si>
  <si>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</si>
  <si>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</si>
  <si>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</si>
  <si>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</si>
  <si>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</si>
  <si>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</si>
  <si>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</si>
  <si>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</si>
  <si>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</si>
  <si>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</si>
  <si>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</si>
  <si>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</si>
  <si>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</si>
  <si>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</si>
  <si>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</si>
  <si>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</si>
  <si>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</si>
  <si>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</si>
  <si>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</si>
  <si>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</si>
  <si>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</si>
  <si>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</si>
  <si>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</si>
  <si>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</si>
  <si>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</si>
  <si>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</si>
  <si>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</si>
  <si>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</si>
  <si>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</si>
  <si>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</si>
  <si>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</si>
  <si>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</si>
  <si>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</si>
  <si>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</si>
  <si>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</si>
  <si>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</si>
  <si>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</si>
  <si>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</si>
  <si>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</si>
  <si>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</si>
  <si>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</si>
  <si>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</si>
  <si>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</si>
  <si>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</si>
  <si>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</si>
  <si>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</si>
  <si>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</si>
  <si>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</si>
  <si>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</si>
  <si>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</si>
  <si>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</si>
  <si>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</si>
  <si>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</si>
  <si>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</si>
  <si>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</si>
  <si>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</si>
  <si>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</si>
  <si>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</si>
  <si>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</si>
  <si>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</si>
  <si>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</si>
  <si>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</si>
  <si>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</si>
  <si>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</si>
  <si>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</si>
  <si>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</si>
  <si>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</si>
  <si>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</si>
  <si>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</si>
  <si>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</si>
  <si>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</si>
  <si>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</si>
  <si>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</si>
  <si>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</si>
  <si>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</si>
  <si>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</si>
  <si>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</si>
  <si>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</si>
  <si>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</si>
  <si>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</si>
  <si>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</si>
  <si>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</si>
  <si>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</si>
  <si>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</si>
  <si>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</si>
  <si>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</si>
  <si>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</si>
  <si>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</si>
  <si>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</si>
  <si>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</si>
  <si>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</si>
  <si>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</si>
  <si>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</si>
  <si>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</si>
  <si>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</si>
  <si>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</si>
  <si>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</si>
  <si>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</si>
  <si>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</si>
  <si>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</si>
  <si>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</si>
  <si>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</si>
  <si>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</si>
  <si>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</si>
  <si>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</si>
  <si>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</si>
  <si>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</si>
  <si>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</si>
  <si>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</si>
  <si>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</si>
  <si>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</si>
  <si>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</si>
  <si>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</si>
  <si>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</si>
  <si>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</si>
  <si>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</si>
  <si>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</si>
  <si>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</si>
  <si>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</si>
  <si>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</si>
  <si>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</si>
  <si>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</si>
  <si>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</si>
  <si>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</si>
  <si>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</si>
  <si>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</si>
  <si>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</si>
  <si>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</si>
  <si>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</si>
  <si>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</si>
  <si>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</si>
  <si>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</si>
  <si>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</si>
  <si>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</si>
  <si>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</si>
  <si>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</si>
  <si>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</si>
  <si>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</si>
  <si>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</si>
  <si>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</si>
  <si>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</si>
  <si>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</si>
  <si>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</si>
  <si>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</si>
  <si>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</si>
  <si>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</si>
  <si>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</si>
  <si>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</si>
  <si>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</si>
  <si>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</si>
  <si>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</si>
  <si>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</si>
  <si>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</si>
  <si>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</si>
  <si>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</si>
  <si>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</si>
  <si>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</si>
  <si>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</si>
  <si>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</si>
  <si>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</si>
  <si>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</si>
  <si>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</si>
  <si>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</si>
  <si>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</si>
  <si>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</si>
  <si>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</si>
  <si>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</si>
  <si>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</si>
  <si>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</si>
  <si>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</si>
  <si>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</si>
  <si>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</si>
  <si>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</si>
  <si>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</si>
  <si>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</si>
  <si>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</si>
  <si>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</si>
  <si>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</si>
  <si>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</si>
  <si>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</si>
  <si>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</si>
  <si>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</si>
  <si>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</si>
  <si>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</si>
  <si>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</si>
  <si>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</si>
  <si>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</si>
  <si>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</si>
  <si>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</si>
  <si>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</si>
  <si>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</si>
  <si>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</si>
  <si>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</si>
  <si>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</si>
  <si>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</si>
  <si>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</si>
  <si>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</si>
  <si>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</si>
  <si>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</si>
  <si>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</si>
  <si>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</si>
  <si>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</si>
  <si>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</si>
  <si>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</si>
  <si>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</si>
  <si>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</si>
  <si>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</si>
  <si>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</si>
  <si>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</si>
  <si>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</si>
  <si>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</si>
  <si>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</si>
  <si>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</si>
  <si>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</si>
  <si>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</si>
  <si>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</si>
  <si>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</si>
  <si>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</si>
  <si>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</si>
  <si>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</si>
  <si>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</si>
  <si>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</si>
  <si>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</si>
  <si>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</si>
  <si>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</si>
  <si>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</si>
  <si>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</si>
  <si>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</si>
  <si>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</si>
  <si>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</si>
  <si>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</si>
  <si>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</si>
  <si>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</si>
  <si>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</si>
  <si>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</si>
  <si>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</si>
  <si>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</si>
  <si>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</si>
  <si>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</si>
  <si>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</si>
  <si>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</si>
  <si>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</si>
  <si>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</si>
  <si>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</si>
  <si>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</si>
  <si>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</si>
  <si>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</si>
  <si>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</si>
  <si>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</si>
  <si>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</si>
  <si>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</si>
  <si>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</si>
  <si>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</si>
  <si>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</si>
  <si>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</si>
  <si>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</si>
  <si>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</si>
  <si>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</si>
  <si>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</si>
  <si>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</si>
  <si>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</si>
  <si>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</si>
  <si>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</si>
  <si>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</si>
  <si>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</si>
  <si>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</si>
  <si>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</si>
  <si>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</si>
  <si>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</si>
  <si>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</si>
  <si>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</si>
  <si>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</si>
  <si>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</si>
  <si>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</si>
  <si>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</si>
  <si>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</si>
  <si>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</si>
  <si>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</si>
  <si>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</si>
  <si>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</si>
  <si>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</si>
  <si>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</si>
  <si>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</si>
  <si>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</si>
  <si>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</si>
  <si>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</si>
  <si>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</si>
  <si>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</si>
  <si>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</si>
  <si>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</si>
  <si>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</si>
  <si>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</si>
  <si>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</si>
  <si>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</si>
  <si>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</si>
  <si>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</si>
  <si>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</si>
  <si>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</si>
  <si>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</si>
  <si>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</si>
  <si>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</si>
  <si>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</si>
  <si>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</si>
  <si>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</si>
  <si>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</si>
  <si>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</si>
  <si>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</si>
  <si>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</si>
  <si>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</si>
  <si>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</si>
  <si>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</si>
  <si>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</si>
  <si>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</si>
  <si>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</si>
  <si>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</si>
  <si>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</si>
  <si>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</si>
  <si>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</si>
  <si>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</si>
  <si>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</si>
  <si>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</si>
  <si>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</si>
  <si>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</si>
  <si>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</si>
  <si>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</si>
  <si>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</si>
  <si>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</si>
  <si>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</si>
  <si>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</si>
  <si>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</si>
  <si>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</si>
  <si>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</si>
  <si>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</si>
  <si>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</si>
  <si>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</si>
  <si>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</si>
  <si>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</si>
  <si>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</si>
  <si>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</si>
  <si>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</si>
  <si>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</si>
  <si>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</si>
  <si>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</si>
  <si>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</si>
  <si>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</si>
  <si>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</si>
  <si>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</si>
  <si>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</si>
  <si>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</si>
  <si>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</si>
  <si>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</si>
  <si>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</si>
  <si>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</si>
  <si>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</si>
  <si>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</si>
  <si>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</si>
  <si>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</si>
  <si>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</si>
  <si>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</si>
  <si>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</si>
  <si>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</si>
  <si>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</si>
  <si>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</si>
  <si>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</si>
  <si>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</si>
  <si>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</si>
  <si>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</si>
  <si>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</si>
  <si>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</si>
  <si>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</si>
  <si>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</si>
  <si>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</si>
  <si>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</si>
  <si>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</si>
  <si>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</si>
  <si>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</si>
  <si>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</si>
  <si>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</si>
  <si>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</si>
  <si>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</si>
  <si>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</si>
  <si>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</si>
  <si>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</si>
  <si>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</si>
  <si>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</si>
  <si>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</si>
  <si>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</si>
  <si>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</si>
  <si>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</si>
  <si>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</si>
  <si>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</si>
  <si>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</si>
  <si>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</si>
  <si>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</si>
  <si>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</si>
  <si>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</si>
  <si>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</si>
  <si>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</si>
  <si>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</si>
  <si>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</si>
  <si>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</si>
  <si>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</si>
  <si>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</si>
  <si>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</si>
  <si>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</si>
  <si>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</si>
  <si>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</si>
  <si>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</si>
  <si>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</si>
  <si>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</si>
  <si>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</si>
  <si>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</si>
  <si>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</si>
  <si>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</si>
  <si>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</si>
  <si>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</si>
  <si>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</si>
  <si>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</si>
  <si>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</si>
  <si>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</si>
  <si>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</si>
  <si>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</si>
  <si>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</si>
  <si>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</si>
  <si>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</si>
  <si>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</si>
  <si>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</si>
  <si>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</si>
  <si>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</si>
  <si>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</si>
  <si>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</si>
  <si>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</si>
  <si>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</si>
  <si>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</si>
  <si>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</si>
  <si>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</si>
  <si>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</si>
  <si>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</si>
  <si>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</si>
  <si>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</si>
  <si>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</si>
  <si>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</si>
  <si>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</si>
  <si>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</si>
  <si>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</si>
  <si>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</si>
  <si>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</si>
  <si>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</si>
  <si>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</si>
  <si>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</si>
  <si>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</si>
  <si>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</si>
  <si>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</si>
  <si>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</si>
  <si>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</si>
  <si>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</si>
  <si>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</si>
  <si>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</si>
  <si>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</si>
  <si>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</si>
  <si>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</si>
  <si>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</si>
  <si>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</si>
  <si>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</si>
  <si>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</si>
  <si>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</si>
  <si>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</si>
  <si>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</si>
  <si>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</si>
  <si>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</si>
  <si>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</si>
  <si>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</si>
  <si>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</si>
  <si>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</si>
  <si>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</si>
  <si>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</si>
  <si>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</si>
  <si>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</si>
  <si>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</si>
  <si>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</si>
  <si>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</si>
  <si>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</si>
  <si>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</si>
  <si>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</si>
  <si>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</si>
  <si>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</si>
  <si>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</si>
  <si>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</si>
  <si>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</si>
  <si>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</si>
  <si>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</si>
  <si>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</si>
  <si>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</si>
  <si>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</si>
  <si>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</si>
  <si>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</si>
  <si>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</si>
  <si>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</si>
  <si>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</si>
  <si>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</si>
  <si>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</si>
  <si>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</si>
  <si>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</si>
  <si>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</si>
  <si>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</si>
  <si>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</si>
  <si>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</si>
  <si>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</si>
  <si>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</si>
  <si>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</si>
  <si>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</si>
  <si>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</si>
  <si>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</si>
  <si>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</si>
  <si>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</si>
  <si>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</si>
  <si>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</si>
  <si>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</si>
  <si>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</si>
  <si>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</si>
  <si>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</si>
  <si>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</si>
  <si>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</si>
  <si>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</si>
  <si>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</si>
  <si>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</si>
  <si>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</si>
  <si>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</si>
  <si>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</si>
  <si>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</si>
  <si>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</si>
  <si>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</si>
  <si>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</si>
  <si>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</si>
  <si>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</si>
  <si>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</si>
  <si>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</si>
  <si>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</si>
  <si>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</si>
  <si>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</si>
  <si>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</si>
  <si>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</si>
  <si>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</si>
  <si>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</si>
  <si>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</si>
  <si>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</si>
  <si>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</si>
  <si>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</si>
  <si>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</si>
  <si>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</si>
  <si>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</si>
  <si>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</si>
  <si>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</si>
  <si>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</si>
  <si>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</si>
  <si>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</si>
  <si>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</si>
  <si>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</si>
  <si>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</si>
  <si>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</si>
  <si>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</si>
  <si>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</si>
  <si>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</si>
  <si>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</si>
  <si>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</si>
  <si>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</si>
  <si>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</si>
  <si>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</si>
  <si>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</si>
  <si>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</si>
  <si>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</si>
  <si>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</si>
  <si>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</si>
  <si>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</si>
  <si>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</si>
  <si>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</si>
  <si>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</si>
  <si>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</si>
  <si>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</si>
  <si>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</si>
  <si>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</si>
  <si>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</si>
  <si>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</si>
  <si>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</si>
  <si>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</si>
  <si>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</si>
  <si>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</si>
  <si>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</si>
  <si>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</si>
  <si>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</si>
  <si>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</si>
  <si>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</si>
  <si>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</si>
  <si>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</si>
  <si>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</si>
  <si>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</si>
  <si>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</si>
  <si>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</si>
  <si>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</si>
  <si>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</si>
  <si>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</si>
  <si>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</si>
  <si>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</si>
  <si>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</si>
  <si>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</si>
  <si>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</si>
  <si>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</si>
  <si>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</si>
  <si>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</si>
  <si>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</si>
  <si>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</si>
  <si>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</si>
  <si>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</si>
  <si>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</si>
  <si>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</si>
  <si>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</si>
  <si>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</si>
  <si>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</si>
  <si>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</si>
  <si>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</si>
  <si>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</si>
  <si>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</si>
  <si>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</si>
  <si>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</si>
  <si>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</si>
  <si>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</si>
  <si>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</si>
  <si>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</si>
  <si>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</si>
  <si>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</si>
  <si>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</si>
  <si>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</si>
  <si>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</si>
  <si>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</si>
  <si>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</si>
  <si>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</si>
  <si>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</si>
  <si>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</si>
  <si>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</si>
  <si>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</si>
  <si>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</si>
  <si>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</si>
  <si>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</si>
  <si>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</si>
  <si>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</si>
  <si>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</si>
  <si>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</si>
  <si>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</si>
  <si>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</si>
  <si>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</si>
  <si>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</si>
  <si>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</si>
  <si>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</si>
  <si>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</si>
  <si>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</si>
  <si>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</si>
  <si>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</si>
  <si>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</si>
  <si>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</si>
  <si>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</si>
  <si>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</si>
  <si>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</si>
  <si>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</si>
  <si>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</si>
  <si>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</si>
  <si>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</si>
  <si>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</si>
  <si>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</si>
  <si>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</si>
  <si>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</si>
  <si>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</si>
  <si>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</si>
  <si>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</si>
  <si>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</si>
  <si>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</si>
  <si>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</si>
  <si>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</si>
  <si>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</si>
  <si>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</si>
  <si>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</si>
  <si>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</si>
  <si>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</si>
  <si>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</si>
  <si>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</si>
  <si>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</si>
  <si>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</si>
  <si>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</si>
  <si>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</si>
  <si>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</si>
  <si>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</si>
  <si>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</si>
  <si>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</si>
  <si>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</si>
  <si>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</si>
  <si>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</si>
  <si>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</si>
  <si>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</si>
  <si>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</si>
  <si>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</si>
  <si>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</si>
  <si>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</si>
  <si>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</si>
  <si>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</si>
  <si>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</si>
  <si>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</si>
  <si>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</si>
  <si>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</si>
  <si>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</si>
  <si>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</si>
  <si>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</si>
  <si>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</si>
  <si>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</si>
  <si>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</si>
  <si>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</si>
  <si>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</si>
  <si>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</si>
  <si>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</si>
  <si>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</si>
  <si>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</si>
  <si>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</si>
  <si>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</si>
  <si>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</si>
  <si>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</si>
  <si>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</si>
  <si>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</si>
  <si>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</si>
  <si>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</si>
  <si>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</si>
  <si>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</si>
  <si>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</si>
  <si>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</si>
  <si>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</si>
  <si>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</si>
  <si>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</si>
  <si>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</si>
  <si>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</si>
  <si>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</si>
  <si>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</si>
  <si>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</si>
  <si>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</si>
  <si>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</si>
  <si>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</si>
  <si>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</si>
  <si>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</si>
  <si>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</si>
  <si>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</si>
  <si>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</si>
  <si>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</si>
  <si>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</si>
  <si>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</si>
  <si>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</si>
  <si>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</si>
  <si>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</si>
  <si>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</si>
  <si>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</si>
  <si>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</si>
  <si>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</si>
  <si>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</si>
  <si>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</si>
  <si>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</si>
  <si>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</si>
  <si>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</si>
  <si>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</si>
  <si>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</si>
  <si>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</si>
  <si>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</si>
  <si>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</si>
  <si>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</si>
  <si>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</si>
  <si>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</si>
  <si>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</si>
  <si>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</si>
  <si>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</si>
  <si>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</si>
  <si>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</si>
  <si>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</si>
  <si>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</si>
  <si>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</si>
  <si>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</si>
  <si>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</si>
  <si>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</si>
  <si>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</si>
  <si>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</si>
  <si>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</si>
  <si>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</si>
  <si>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</si>
  <si>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</si>
  <si>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</si>
  <si>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</si>
  <si>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</si>
  <si>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</si>
  <si>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</si>
  <si>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</si>
  <si>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</si>
  <si>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</si>
  <si>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</si>
  <si>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</si>
  <si>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</si>
  <si>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</si>
  <si>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</si>
  <si>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</si>
  <si>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</si>
  <si>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</si>
  <si>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</si>
  <si>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</si>
  <si>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</si>
  <si>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</si>
  <si>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</si>
  <si>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</si>
  <si>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</si>
  <si>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</si>
  <si>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</si>
  <si>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</si>
  <si>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</si>
  <si>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</si>
  <si>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</si>
  <si>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</si>
  <si>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</si>
  <si>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</si>
  <si>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</si>
  <si>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</si>
  <si>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</si>
  <si>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</si>
  <si>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</si>
  <si>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</si>
  <si>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</si>
  <si>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</si>
  <si>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</si>
  <si>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</si>
  <si>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</si>
  <si>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</si>
  <si>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</si>
  <si>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</si>
  <si>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</si>
  <si>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</si>
  <si>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</si>
  <si>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</si>
  <si>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</si>
  <si>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</si>
  <si>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</si>
  <si>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</si>
  <si>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</si>
  <si>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</si>
  <si>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</si>
  <si>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</si>
  <si>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</si>
  <si>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</si>
  <si>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</si>
  <si>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</si>
  <si>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</si>
  <si>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</si>
  <si>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</si>
  <si>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</si>
  <si>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</si>
  <si>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</si>
  <si>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</si>
  <si>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</si>
  <si>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</si>
  <si>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</si>
  <si>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</si>
  <si>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</si>
  <si>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</si>
  <si>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</si>
  <si>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</si>
  <si>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</si>
  <si>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</si>
  <si>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</si>
  <si>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</si>
  <si>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</si>
  <si>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</si>
  <si>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</si>
  <si>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</si>
  <si>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</si>
  <si>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</si>
  <si>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</si>
  <si>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</si>
  <si>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</si>
  <si>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</si>
  <si>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</si>
  <si>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</si>
  <si>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</si>
  <si>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</si>
  <si>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</si>
  <si>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</si>
  <si>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</si>
  <si>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</si>
  <si>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</si>
  <si>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</si>
  <si>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</si>
  <si>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</si>
  <si>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</si>
  <si>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</si>
  <si>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</si>
  <si>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</si>
  <si>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</si>
  <si>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</si>
  <si>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</si>
  <si>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</si>
  <si>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</si>
  <si>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</si>
  <si>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</si>
  <si>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</si>
  <si>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</si>
  <si>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</si>
  <si>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</si>
  <si>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</si>
  <si>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</si>
  <si>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</si>
  <si>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</si>
  <si>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</si>
  <si>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</si>
  <si>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</si>
  <si>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</si>
  <si>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</si>
  <si>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</si>
  <si>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</si>
  <si>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</si>
  <si>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</si>
  <si>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</si>
  <si>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</si>
  <si>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</si>
  <si>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</si>
  <si>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</si>
  <si>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</si>
  <si>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</si>
  <si>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</si>
  <si>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</si>
  <si>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</si>
  <si>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</si>
  <si>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</si>
  <si>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</si>
  <si>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</si>
  <si>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</si>
  <si>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</si>
  <si>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</si>
  <si>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</si>
  <si>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</si>
  <si>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</si>
  <si>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</si>
  <si>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</si>
  <si>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</si>
  <si>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</si>
  <si>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</si>
  <si>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</si>
  <si>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</si>
  <si>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</si>
  <si>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</si>
  <si>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</si>
  <si>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</si>
  <si>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</si>
  <si>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</si>
  <si>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</si>
  <si>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</si>
  <si>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</si>
  <si>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</si>
  <si>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</si>
  <si>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</si>
  <si>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</si>
  <si>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</si>
  <si>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</si>
  <si>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</si>
  <si>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</si>
  <si>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</si>
  <si>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</si>
  <si>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</si>
  <si>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</si>
  <si>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</si>
  <si>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</si>
  <si>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</si>
  <si>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</si>
  <si>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</si>
  <si>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</si>
  <si>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</si>
  <si>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</si>
  <si>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</si>
  <si>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</si>
  <si>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</si>
  <si>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</si>
  <si>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</si>
  <si>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</si>
  <si>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</si>
  <si>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</si>
  <si>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</si>
  <si>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</si>
  <si>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</si>
  <si>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</si>
  <si>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</si>
  <si>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</si>
  <si>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</si>
  <si>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</si>
  <si>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</si>
  <si>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</si>
  <si>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</si>
  <si>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</si>
  <si>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</si>
  <si>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</si>
  <si>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</si>
  <si>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</si>
  <si>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</si>
  <si>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</si>
  <si>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</si>
  <si>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</si>
  <si>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</si>
  <si>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</si>
  <si>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</si>
  <si>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</si>
  <si>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</si>
  <si>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</si>
  <si>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</si>
  <si>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</si>
  <si>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</si>
  <si>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</si>
  <si>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</si>
  <si>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</si>
  <si>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</si>
  <si>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</si>
  <si>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</si>
  <si>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</si>
  <si>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</si>
  <si>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</si>
  <si>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</si>
  <si>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</si>
  <si>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</si>
  <si>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</si>
  <si>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</si>
  <si>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</si>
  <si>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</si>
  <si>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</si>
  <si>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</si>
  <si>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</si>
  <si>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</si>
  <si>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</si>
  <si>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</si>
  <si>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</si>
  <si>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</si>
  <si>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</si>
  <si>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</si>
  <si>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</si>
  <si>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</si>
  <si>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</si>
  <si>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</si>
  <si>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</si>
  <si>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</si>
  <si>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</si>
  <si>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</si>
  <si>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</si>
  <si>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</si>
  <si>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</si>
  <si>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</si>
  <si>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</si>
  <si>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</si>
  <si>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</si>
  <si>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</si>
  <si>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</si>
  <si>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</si>
  <si>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</si>
  <si>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</si>
  <si>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</si>
  <si>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</si>
  <si>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</si>
  <si>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</si>
  <si>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</si>
  <si>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</si>
  <si>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</si>
  <si>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</si>
  <si>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</si>
  <si>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</si>
  <si>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</si>
  <si>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</si>
  <si>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</si>
  <si>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</si>
  <si>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</si>
  <si>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</si>
  <si>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</si>
  <si>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</si>
  <si>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</si>
  <si>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</si>
  <si>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</si>
  <si>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</si>
  <si>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</si>
  <si>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</si>
  <si>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</si>
  <si>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</si>
  <si>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</si>
  <si>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</si>
  <si>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</si>
  <si>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</si>
  <si>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</si>
  <si>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</si>
  <si>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</si>
  <si>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</si>
  <si>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</si>
  <si>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</si>
  <si>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</si>
  <si>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</si>
  <si>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</si>
  <si>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</si>
  <si>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</si>
  <si>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</si>
  <si>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</si>
  <si>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</si>
  <si>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</si>
  <si>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</si>
  <si>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</si>
  <si>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</si>
  <si>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</si>
  <si>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</si>
  <si>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</si>
  <si>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</si>
  <si>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</si>
  <si>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</si>
  <si>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</si>
  <si>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</si>
  <si>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</si>
  <si>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</si>
  <si>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</si>
  <si>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</si>
  <si>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</si>
  <si>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</si>
  <si>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</si>
  <si>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</si>
  <si>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</si>
  <si>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</si>
  <si>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</si>
  <si>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</si>
  <si>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</si>
  <si>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</si>
  <si>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</si>
  <si>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</si>
  <si>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</si>
  <si>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</si>
  <si>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</si>
  <si>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</si>
  <si>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</si>
  <si>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</si>
  <si>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</si>
  <si>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</si>
  <si>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</si>
  <si>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</si>
  <si>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</si>
  <si>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</si>
  <si>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</si>
  <si>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</si>
  <si>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</si>
  <si>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</si>
  <si>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</si>
  <si>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</si>
  <si>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</si>
  <si>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</si>
  <si>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</si>
  <si>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</si>
  <si>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</si>
  <si>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</si>
  <si>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</si>
  <si>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</si>
  <si>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</si>
  <si>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</si>
  <si>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</si>
  <si>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</si>
  <si>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</si>
  <si>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</si>
  <si>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</si>
  <si>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</si>
  <si>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</si>
  <si>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</si>
  <si>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</si>
  <si>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</si>
  <si>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</si>
  <si>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</si>
  <si>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</si>
  <si>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</si>
  <si>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</si>
  <si>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</si>
  <si>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</si>
  <si>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</si>
  <si>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</si>
  <si>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</si>
  <si>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</si>
  <si>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</si>
  <si>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</si>
  <si>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</si>
  <si>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</si>
  <si>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</si>
  <si>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</si>
  <si>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</si>
  <si>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</si>
  <si>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</si>
  <si>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</si>
  <si>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</si>
  <si>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</si>
  <si>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</si>
  <si>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</si>
  <si>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</si>
  <si>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</si>
  <si>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</si>
  <si>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</si>
  <si>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</si>
  <si>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</si>
  <si>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</si>
  <si>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</si>
  <si>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</si>
  <si>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</si>
  <si>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</si>
  <si>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</si>
  <si>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</si>
  <si>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</si>
  <si>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</si>
  <si>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</si>
  <si>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</si>
  <si>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</si>
  <si>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</si>
  <si>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</si>
  <si>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</si>
  <si>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</si>
  <si>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</si>
  <si>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</si>
  <si>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</si>
  <si>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</si>
  <si>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</si>
  <si>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</si>
  <si>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</si>
  <si>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</si>
  <si>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</si>
  <si>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</si>
  <si>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</si>
  <si>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</si>
  <si>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</si>
  <si>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</si>
  <si>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</si>
  <si>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</si>
  <si>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</si>
  <si>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</si>
  <si>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</si>
  <si>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</si>
  <si>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</si>
  <si>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</si>
  <si>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</si>
  <si>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</si>
  <si>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</si>
  <si>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</si>
  <si>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</si>
  <si>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</si>
  <si>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</si>
  <si>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</si>
  <si>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</si>
  <si>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</si>
  <si>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</si>
  <si>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</si>
  <si>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</si>
  <si>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</si>
  <si>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</si>
  <si>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</si>
  <si>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</si>
  <si>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</si>
  <si>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</si>
  <si>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</si>
  <si>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</si>
  <si>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</si>
  <si>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</si>
  <si>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</si>
  <si>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</si>
  <si>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</si>
  <si>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</si>
  <si>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</si>
  <si>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</si>
  <si>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</si>
  <si>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</si>
  <si>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</si>
  <si>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</si>
  <si>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</si>
  <si>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</si>
  <si>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</si>
  <si>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</si>
  <si>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</si>
  <si>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</si>
  <si>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</si>
  <si>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</si>
  <si>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</si>
  <si>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</si>
  <si>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</si>
  <si>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</si>
  <si>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</si>
  <si>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</si>
  <si>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</si>
  <si>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</si>
  <si>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</si>
  <si>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</si>
  <si>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</si>
  <si>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</si>
  <si>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</si>
  <si>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</si>
  <si>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</si>
  <si>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</si>
  <si>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</si>
  <si>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</si>
  <si>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</si>
  <si>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</si>
  <si>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</si>
  <si>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</si>
  <si>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</si>
  <si>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</si>
  <si>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</si>
  <si>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</si>
  <si>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</si>
  <si>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</si>
  <si>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</si>
  <si>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</si>
  <si>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</si>
  <si>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</si>
  <si>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</si>
  <si>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</si>
  <si>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</si>
  <si>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</si>
  <si>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</si>
  <si>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</si>
  <si>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</si>
  <si>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</si>
  <si>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</si>
  <si>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</si>
  <si>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</si>
  <si>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</si>
  <si>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</si>
  <si>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</si>
  <si>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</si>
  <si>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</si>
  <si>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</si>
  <si>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</si>
  <si>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</si>
  <si>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</si>
  <si>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</si>
  <si>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</si>
  <si>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</si>
  <si>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</si>
  <si>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</si>
  <si>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</si>
  <si>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</si>
  <si>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</si>
  <si>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</si>
  <si>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</si>
  <si>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</si>
  <si>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</si>
  <si>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</si>
  <si>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</si>
  <si>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</si>
  <si>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</si>
  <si>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</si>
  <si>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</si>
  <si>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</si>
  <si>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</si>
  <si>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</si>
  <si>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</si>
  <si>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</si>
  <si>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</si>
  <si>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</si>
  <si>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</si>
  <si>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</si>
  <si>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</si>
  <si>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</si>
  <si>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</si>
  <si>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</si>
  <si>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</si>
  <si>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</si>
  <si>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</si>
  <si>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</si>
  <si>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</si>
  <si>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</si>
  <si>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</si>
  <si>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</si>
  <si>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</si>
  <si>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</si>
  <si>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</si>
  <si>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</si>
  <si>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</si>
  <si>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</si>
  <si>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</si>
  <si>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</si>
  <si>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</si>
  <si>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</si>
  <si>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</si>
  <si>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</si>
  <si>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</si>
  <si>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</si>
  <si>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</si>
  <si>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</si>
  <si>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</si>
  <si>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</si>
  <si>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</si>
  <si>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</si>
  <si>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</si>
  <si>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</si>
  <si>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</si>
  <si>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</si>
  <si>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</si>
  <si>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</si>
  <si>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</si>
  <si>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</si>
  <si>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</si>
  <si>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</si>
  <si>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</si>
  <si>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</si>
  <si>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</si>
  <si>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</si>
  <si>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</si>
  <si>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</si>
  <si>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</si>
  <si>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</si>
  <si>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</si>
  <si>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</si>
  <si>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</si>
  <si>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</si>
  <si>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</si>
  <si>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</si>
  <si>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</si>
  <si>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</si>
  <si>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</si>
  <si>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</si>
  <si>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</si>
  <si>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</si>
  <si>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</si>
  <si>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</si>
  <si>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</si>
  <si>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</si>
  <si>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</si>
  <si>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</si>
  <si>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</si>
  <si>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</si>
  <si>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</si>
  <si>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</si>
  <si>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</si>
  <si>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</si>
  <si>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</si>
  <si>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</si>
  <si>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</si>
  <si>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</si>
  <si>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</si>
  <si>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</si>
  <si>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</si>
  <si>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</si>
  <si>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</si>
  <si>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</si>
  <si>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</si>
  <si>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</si>
  <si>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</si>
  <si>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</si>
  <si>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</si>
  <si>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</si>
  <si>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</si>
  <si>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</si>
  <si>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</si>
  <si>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</si>
  <si>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</si>
  <si>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</si>
  <si>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</si>
  <si>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</si>
  <si>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</si>
  <si>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</si>
  <si>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</si>
  <si>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</si>
  <si>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</si>
  <si>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</si>
  <si>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</si>
  <si>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</si>
  <si>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</si>
  <si>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</si>
  <si>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</si>
  <si>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</si>
  <si>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</si>
  <si>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</si>
  <si>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</si>
  <si>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</si>
  <si>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</si>
  <si>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</si>
  <si>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</si>
  <si>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</si>
  <si>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</si>
  <si>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</si>
  <si>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</si>
  <si>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</si>
  <si>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</si>
  <si>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</si>
  <si>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</si>
  <si>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</si>
  <si>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</si>
  <si>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</si>
  <si>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</si>
  <si>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</si>
  <si>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</si>
  <si>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</si>
  <si>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</si>
  <si>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</si>
  <si>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</si>
  <si>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</si>
  <si>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</si>
  <si>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</si>
  <si>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</si>
  <si>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</si>
  <si>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</si>
  <si>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</si>
  <si>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</si>
  <si>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</si>
  <si>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</si>
  <si>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</si>
  <si>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</si>
  <si>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</si>
  <si>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</si>
  <si>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</si>
  <si>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</si>
  <si>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</si>
  <si>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</si>
  <si>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</si>
  <si>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</si>
  <si>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</si>
  <si>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</si>
  <si>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</si>
  <si>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</si>
  <si>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</si>
  <si>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</si>
  <si>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</si>
  <si>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</si>
  <si>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</si>
  <si>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</si>
  <si>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</si>
  <si>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</si>
  <si>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</si>
  <si>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</si>
  <si>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</si>
  <si>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</si>
  <si>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</si>
  <si>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</si>
  <si>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</si>
  <si>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</si>
  <si>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</si>
  <si>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</si>
  <si>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</si>
  <si>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</si>
  <si>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</si>
  <si>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</si>
  <si>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</si>
  <si>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</si>
  <si>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</si>
  <si>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</si>
  <si>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</si>
  <si>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</si>
  <si>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</si>
  <si>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</si>
  <si>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</si>
  <si>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</si>
  <si>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</si>
  <si>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</si>
  <si>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</si>
  <si>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</si>
  <si>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</si>
  <si>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</si>
  <si>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</si>
  <si>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</si>
  <si>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</si>
  <si>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</si>
  <si>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</si>
  <si>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</si>
  <si>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</si>
  <si>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</si>
  <si>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</si>
  <si>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</si>
  <si>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</si>
  <si>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</si>
  <si>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</si>
  <si>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</si>
  <si>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</si>
  <si>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</si>
  <si>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</si>
  <si>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</si>
  <si>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</si>
  <si>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</si>
  <si>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</si>
  <si>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</si>
  <si>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</si>
  <si>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</si>
  <si>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</si>
  <si>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</si>
  <si>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</si>
  <si>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</si>
  <si>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</si>
  <si>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</si>
  <si>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</si>
  <si>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</si>
  <si>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</si>
  <si>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</si>
  <si>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</si>
  <si>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</si>
  <si>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</si>
  <si>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</si>
  <si>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</si>
  <si>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</si>
  <si>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</si>
  <si>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</si>
  <si>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</si>
  <si>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</si>
  <si>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</si>
  <si>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</si>
  <si>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</si>
  <si>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</si>
  <si>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</si>
  <si>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</si>
  <si>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</si>
  <si>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</si>
  <si>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</si>
  <si>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</si>
  <si>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</si>
  <si>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</si>
  <si>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</si>
  <si>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</si>
  <si>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</si>
  <si>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</si>
  <si>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</si>
  <si>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</si>
  <si>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</si>
  <si>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</si>
  <si>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</si>
  <si>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</si>
  <si>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</si>
  <si>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</si>
  <si>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</si>
  <si>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</si>
  <si>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</si>
  <si>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</si>
  <si>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</si>
  <si>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</si>
  <si>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</si>
  <si>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</si>
  <si>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</si>
  <si>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</si>
  <si>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</si>
  <si>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</si>
  <si>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</si>
  <si>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</si>
  <si>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</si>
  <si>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</si>
  <si>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</si>
  <si>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</si>
  <si>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</si>
  <si>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</si>
  <si>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</si>
  <si>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</si>
  <si>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</si>
  <si>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</si>
  <si>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</si>
  <si>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</si>
  <si>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</si>
  <si>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</si>
  <si>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</si>
  <si>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</si>
  <si>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</si>
  <si>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</si>
  <si>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</si>
  <si>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</si>
  <si>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</si>
  <si>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</si>
  <si>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</si>
  <si>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</si>
  <si>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</si>
  <si>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</si>
  <si>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</si>
  <si>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</si>
  <si>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</si>
  <si>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</si>
  <si>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</si>
  <si>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</si>
  <si>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</si>
  <si>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</si>
  <si>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</si>
  <si>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</si>
  <si>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</si>
  <si>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</si>
  <si>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</si>
  <si>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</si>
  <si>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</si>
  <si>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</si>
  <si>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</si>
  <si>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</si>
  <si>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</si>
  <si>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</si>
  <si>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</si>
  <si>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</si>
  <si>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</si>
  <si>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</si>
  <si>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</si>
  <si>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</si>
  <si>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</si>
  <si>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</si>
  <si>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</si>
  <si>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</si>
  <si>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</si>
  <si>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</si>
  <si>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</si>
  <si>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</si>
  <si>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</si>
  <si>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</si>
  <si>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</si>
  <si>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</si>
  <si>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</si>
  <si>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</si>
  <si>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</si>
  <si>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</si>
  <si>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</si>
  <si>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</si>
  <si>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</si>
  <si>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</si>
  <si>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</si>
  <si>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</si>
  <si>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</si>
  <si>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</si>
  <si>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</si>
  <si>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</si>
  <si>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</si>
  <si>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</si>
  <si>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</si>
  <si>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</si>
  <si>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</si>
  <si>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</si>
  <si>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</si>
  <si>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</si>
  <si>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</si>
  <si>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</si>
  <si>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</si>
  <si>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</si>
  <si>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</si>
  <si>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</si>
  <si>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</si>
  <si>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</si>
  <si>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</si>
  <si>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</si>
  <si>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</si>
  <si>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</si>
  <si>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</si>
  <si>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</si>
  <si>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</si>
  <si>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</si>
  <si>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</si>
  <si>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</si>
  <si>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</si>
  <si>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</si>
  <si>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</si>
  <si>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</si>
  <si>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</si>
  <si>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</si>
  <si>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</si>
  <si>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</si>
  <si>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</si>
  <si>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</si>
  <si>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</si>
  <si>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</si>
  <si>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</si>
  <si>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</si>
  <si>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</si>
  <si>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</si>
  <si>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</si>
  <si>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</si>
  <si>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</si>
  <si>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</si>
  <si>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</si>
  <si>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</si>
  <si>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</si>
  <si>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</si>
  <si>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</si>
  <si>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</si>
  <si>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</si>
  <si>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</si>
  <si>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</si>
  <si>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</si>
  <si>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</si>
  <si>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</si>
  <si>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</si>
  <si>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</si>
  <si>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</si>
  <si>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</si>
  <si>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</si>
  <si>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</si>
  <si>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</si>
  <si>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</si>
  <si>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</si>
  <si>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</si>
  <si>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</si>
  <si>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</si>
  <si>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</si>
  <si>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</si>
  <si>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</si>
  <si>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</si>
  <si>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</si>
  <si>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</si>
  <si>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</si>
  <si>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</si>
  <si>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</si>
  <si>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</si>
  <si>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</si>
  <si>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</si>
  <si>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</si>
  <si>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</si>
  <si>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</si>
  <si>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</si>
  <si>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</si>
  <si>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</si>
  <si>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</si>
  <si>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</si>
  <si>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</si>
  <si>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</si>
  <si>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</si>
  <si>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</si>
  <si>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</si>
  <si>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</si>
  <si>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</si>
  <si>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</si>
  <si>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</si>
  <si>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</si>
  <si>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</si>
  <si>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</si>
  <si>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</si>
  <si>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</si>
  <si>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</si>
  <si>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</si>
  <si>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</si>
  <si>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</si>
  <si>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</si>
  <si>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</si>
  <si>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</si>
  <si>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</si>
  <si>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</si>
  <si>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</si>
  <si>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</si>
  <si>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</si>
  <si>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</si>
  <si>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</si>
  <si>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</si>
  <si>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</si>
  <si>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</si>
  <si>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</si>
  <si>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</si>
  <si>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</si>
  <si>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</si>
  <si>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</si>
  <si>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</si>
  <si>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</si>
  <si>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</si>
  <si>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</si>
  <si>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</si>
  <si>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</si>
  <si>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</si>
  <si>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</si>
  <si>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</si>
  <si>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</si>
  <si>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</si>
  <si>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</si>
  <si>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</si>
  <si>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</si>
  <si>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</si>
  <si>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</si>
  <si>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</si>
  <si>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</si>
  <si>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</si>
  <si>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</si>
  <si>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</si>
  <si>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</si>
  <si>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</si>
  <si>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</si>
  <si>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</si>
  <si>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</si>
  <si>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</si>
  <si>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</si>
  <si>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</si>
  <si>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</si>
  <si>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</si>
  <si>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</si>
  <si>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</si>
  <si>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</si>
  <si>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</si>
  <si>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</si>
  <si>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</si>
  <si>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</si>
  <si>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</si>
  <si>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</si>
  <si>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</si>
  <si>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</si>
  <si>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</si>
  <si>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</si>
  <si>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</si>
  <si>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</si>
  <si>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</si>
  <si>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</si>
  <si>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</si>
  <si>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</si>
  <si>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</si>
  <si>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</si>
  <si>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</si>
  <si>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</si>
  <si>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</si>
  <si>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</si>
  <si>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</si>
  <si>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</si>
  <si>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</si>
  <si>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</si>
  <si>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</si>
  <si>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</si>
  <si>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</si>
  <si>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</si>
  <si>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</si>
  <si>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</si>
  <si>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</si>
  <si>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</si>
  <si>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</si>
  <si>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</si>
  <si>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</si>
  <si>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</si>
  <si>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</si>
  <si>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</si>
  <si>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</si>
  <si>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</si>
  <si>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</si>
  <si>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</si>
  <si>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</si>
  <si>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</si>
  <si>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</si>
  <si>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</si>
  <si>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</si>
  <si>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</si>
  <si>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</si>
  <si>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</si>
  <si>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</si>
  <si>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</si>
  <si>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</si>
  <si>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</si>
  <si>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</si>
  <si>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</si>
  <si>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</si>
  <si>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</si>
  <si>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</si>
  <si>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</si>
  <si>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</si>
  <si>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</si>
  <si>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</si>
  <si>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</si>
  <si>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</si>
  <si>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</si>
  <si>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</si>
  <si>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</si>
  <si>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</si>
  <si>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</si>
  <si>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</si>
  <si>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</si>
  <si>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</si>
  <si>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</si>
  <si>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</si>
  <si>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</si>
  <si>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</si>
  <si>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</si>
  <si>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</si>
  <si>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</si>
  <si>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</si>
  <si>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</si>
  <si>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</si>
  <si>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</si>
  <si>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</si>
  <si>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</si>
  <si>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</si>
  <si>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</si>
  <si>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</si>
  <si>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</si>
  <si>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</si>
  <si>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</si>
  <si>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</si>
  <si>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</si>
  <si>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</si>
  <si>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</si>
  <si>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</si>
  <si>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</si>
  <si>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</si>
  <si>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</si>
  <si>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</si>
  <si>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</si>
  <si>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</si>
  <si>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</si>
  <si>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</si>
  <si>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</si>
  <si>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</si>
  <si>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</si>
  <si>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</si>
  <si>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</si>
  <si>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</si>
  <si>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</si>
  <si>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</si>
  <si>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</si>
  <si>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</si>
  <si>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</si>
  <si>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</si>
  <si>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</si>
  <si>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</si>
  <si>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</si>
  <si>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</si>
  <si>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</si>
  <si>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</si>
  <si>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</si>
  <si>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</si>
  <si>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</si>
  <si>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</si>
  <si>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</si>
  <si>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</si>
  <si>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</si>
  <si>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</si>
  <si>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</si>
  <si>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</si>
  <si>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</si>
  <si>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</si>
  <si>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</si>
  <si>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</si>
  <si>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</si>
  <si>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</si>
  <si>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</si>
  <si>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</si>
  <si>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</si>
  <si>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</si>
  <si>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</si>
  <si>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</si>
  <si>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</si>
  <si>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</si>
  <si>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</si>
  <si>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</si>
  <si>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</si>
  <si>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</si>
  <si>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</si>
  <si>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</si>
  <si>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</si>
  <si>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</si>
  <si>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</si>
  <si>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</si>
  <si>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</si>
  <si>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</si>
  <si>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</si>
  <si>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</si>
  <si>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</si>
  <si>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</si>
  <si>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</si>
  <si>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</si>
  <si>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</si>
  <si>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</si>
  <si>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</si>
  <si>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</si>
  <si>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</si>
  <si>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</si>
  <si>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</si>
  <si>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</si>
  <si>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</si>
  <si>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</si>
  <si>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</si>
  <si>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</si>
  <si>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</si>
  <si>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</si>
  <si>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</si>
  <si>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</si>
  <si>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</si>
  <si>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</si>
  <si>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</si>
  <si>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</si>
  <si>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</si>
  <si>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</si>
  <si>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</si>
  <si>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</si>
  <si>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</si>
  <si>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</si>
  <si>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</si>
  <si>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</si>
  <si>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</si>
  <si>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</si>
  <si>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</si>
  <si>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</si>
  <si>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</si>
  <si>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</si>
  <si>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</si>
  <si>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</si>
  <si>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</si>
  <si>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</si>
  <si>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</si>
  <si>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</si>
  <si>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</si>
  <si>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</si>
  <si>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</si>
  <si>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</si>
  <si>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</si>
  <si>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</si>
  <si>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</si>
  <si>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</si>
  <si>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</si>
  <si>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</si>
  <si>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</si>
  <si>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</si>
  <si>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</si>
  <si>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</si>
  <si>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</si>
  <si>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</si>
  <si>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</si>
  <si>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</si>
  <si>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</si>
  <si>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</si>
  <si>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</si>
  <si>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</si>
  <si>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</si>
  <si>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</si>
  <si>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</si>
  <si>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</si>
  <si>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</si>
  <si>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</si>
  <si>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</si>
  <si>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</si>
  <si>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</si>
  <si>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</si>
  <si>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</si>
  <si>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</si>
  <si>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</si>
  <si>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</si>
  <si>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</si>
  <si>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</si>
  <si>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</si>
  <si>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</si>
  <si>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</si>
  <si>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</si>
  <si>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</si>
  <si>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</si>
  <si>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</si>
  <si>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</si>
  <si>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</si>
  <si>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</si>
  <si>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</si>
  <si>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</si>
  <si>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</si>
  <si>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</si>
  <si>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</si>
  <si>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</si>
  <si>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</si>
  <si>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</si>
  <si>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</si>
  <si>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</si>
  <si>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</si>
  <si>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</si>
  <si>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</si>
  <si>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</si>
  <si>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</si>
  <si>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</si>
  <si>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</si>
  <si>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</si>
  <si>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</si>
  <si>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</si>
  <si>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</si>
  <si>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</si>
  <si>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</si>
  <si>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</si>
  <si>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</si>
  <si>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</si>
  <si>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</si>
  <si>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</si>
  <si>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</si>
  <si>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</si>
  <si>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</si>
  <si>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</si>
  <si>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</si>
  <si>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</si>
  <si>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</si>
  <si>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</si>
  <si>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</si>
  <si>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</si>
  <si>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</si>
  <si>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</si>
  <si>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</si>
  <si>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</si>
  <si>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</si>
  <si>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</si>
  <si>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</si>
  <si>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</si>
  <si>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</si>
  <si>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</si>
  <si>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</si>
  <si>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</si>
  <si>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</si>
  <si>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</si>
  <si>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</si>
  <si>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</si>
  <si>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</si>
  <si>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</si>
  <si>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</si>
  <si>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</si>
  <si>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</si>
  <si>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</si>
  <si>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</si>
  <si>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</si>
  <si>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</si>
  <si>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</si>
  <si>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</si>
  <si>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</si>
  <si>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</si>
  <si>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</si>
  <si>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</si>
  <si>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</si>
  <si>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</si>
  <si>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</si>
  <si>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</si>
  <si>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</si>
  <si>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</si>
  <si>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</si>
  <si>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</si>
  <si>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</si>
  <si>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</si>
  <si>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</si>
  <si>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</si>
  <si>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</si>
  <si>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</si>
  <si>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</si>
  <si>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</si>
  <si>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</si>
  <si>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</si>
  <si>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</si>
  <si>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</si>
  <si>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</si>
  <si>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</si>
  <si>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</si>
  <si>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</si>
  <si>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</si>
  <si>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</si>
  <si>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</si>
  <si>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</si>
  <si>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</si>
  <si>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</si>
  <si>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</si>
  <si>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</si>
  <si>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</si>
  <si>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</si>
  <si>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</si>
  <si>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</si>
  <si>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</si>
  <si>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</si>
  <si>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</si>
  <si>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</si>
  <si>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</si>
  <si>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</si>
  <si>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</si>
  <si>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</si>
  <si>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</si>
  <si>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</si>
  <si>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</si>
  <si>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</si>
  <si>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</si>
  <si>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</si>
  <si>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</si>
  <si>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</si>
  <si>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</si>
  <si>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</si>
  <si>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</si>
  <si>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</si>
  <si>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</si>
  <si>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</si>
  <si>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</si>
  <si>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</si>
  <si>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</si>
  <si>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</si>
  <si>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</si>
  <si>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</si>
  <si>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</si>
  <si>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</si>
  <si>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</si>
  <si>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</si>
  <si>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</si>
  <si>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</si>
  <si>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</si>
  <si>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</si>
  <si>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</si>
  <si>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</si>
  <si>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</si>
  <si>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</si>
  <si>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</si>
  <si>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</si>
  <si>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</si>
  <si>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</si>
  <si>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</si>
  <si>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</si>
  <si>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</si>
  <si>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</si>
  <si>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</si>
  <si>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</si>
  <si>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</si>
  <si>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</si>
  <si>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</si>
  <si>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</si>
  <si>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</si>
  <si>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</si>
  <si>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</si>
  <si>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</si>
  <si>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</si>
  <si>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</si>
  <si>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</si>
  <si>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</si>
  <si>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</si>
  <si>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</si>
  <si>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</si>
  <si>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</si>
  <si>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</si>
  <si>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</si>
  <si>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</si>
  <si>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</si>
  <si>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</si>
  <si>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</si>
  <si>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</si>
  <si>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</si>
  <si>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</si>
  <si>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</si>
  <si>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</si>
  <si>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</si>
  <si>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</si>
  <si>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</si>
  <si>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</si>
  <si>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</si>
  <si>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</si>
  <si>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</si>
  <si>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</si>
  <si>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</si>
  <si>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</si>
  <si>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</si>
  <si>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</si>
  <si>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</si>
  <si>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</si>
  <si>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</si>
  <si>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</si>
  <si>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</si>
  <si>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</si>
  <si>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</si>
  <si>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</si>
  <si>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</si>
  <si>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</si>
  <si>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</si>
  <si>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</si>
  <si>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</si>
  <si>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</si>
  <si>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</si>
  <si>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</si>
  <si>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</si>
  <si>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</si>
  <si>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</si>
  <si>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</si>
  <si>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</si>
  <si>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</si>
  <si>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</si>
  <si>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</si>
  <si>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</si>
  <si>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</si>
  <si>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</si>
  <si>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</si>
  <si>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</si>
  <si>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</si>
  <si>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</si>
  <si>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</si>
  <si>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</si>
  <si>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</si>
  <si>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</si>
  <si>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</si>
  <si>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</si>
  <si>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</si>
  <si>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</si>
  <si>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</si>
  <si>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</si>
  <si>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</si>
  <si>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</si>
  <si>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</si>
  <si>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</si>
  <si>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</si>
  <si>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</si>
  <si>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</si>
  <si>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</si>
  <si>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</si>
  <si>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</si>
  <si>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</si>
  <si>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</si>
  <si>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</si>
  <si>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</si>
  <si>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</si>
  <si>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</si>
  <si>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</si>
  <si>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</si>
  <si>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</si>
  <si>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</si>
  <si>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</si>
  <si>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</si>
  <si>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</si>
  <si>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</si>
  <si>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</si>
  <si>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</si>
  <si>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</si>
  <si>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</si>
  <si>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</si>
  <si>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</si>
  <si>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</si>
  <si>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</si>
  <si>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</si>
  <si>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</si>
  <si>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</si>
  <si>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</si>
  <si>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</si>
  <si>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</si>
  <si>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</si>
  <si>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</si>
  <si>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</si>
  <si>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</si>
  <si>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</si>
  <si>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</si>
  <si>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</si>
  <si>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</si>
  <si>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</si>
  <si>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</si>
  <si>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</si>
  <si>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</si>
  <si>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</si>
  <si>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</si>
  <si>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</si>
  <si>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</si>
  <si>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</si>
  <si>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</si>
  <si>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</si>
  <si>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</si>
  <si>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</si>
  <si>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</si>
  <si>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</si>
  <si>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</si>
  <si>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</si>
  <si>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</si>
  <si>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</si>
  <si>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</si>
  <si>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</si>
  <si>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</si>
  <si>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</si>
  <si>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</si>
  <si>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</si>
  <si>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</si>
  <si>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</si>
  <si>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</si>
  <si>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</si>
  <si>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</si>
  <si>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</si>
  <si>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</si>
  <si>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</si>
  <si>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</si>
  <si>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</si>
  <si>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</si>
  <si>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</si>
  <si>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</si>
  <si>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</si>
  <si>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</si>
  <si>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</si>
  <si>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</si>
  <si>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</si>
  <si>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</si>
  <si>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</si>
  <si>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</si>
  <si>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</si>
  <si>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</si>
  <si>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</si>
  <si>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</si>
  <si>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</si>
  <si>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</si>
  <si>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</si>
  <si>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</si>
  <si>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</si>
  <si>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</si>
  <si>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</si>
  <si>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</si>
  <si>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</si>
  <si>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</si>
  <si>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</si>
  <si>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</si>
  <si>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</si>
  <si>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</si>
  <si>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</si>
  <si>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</si>
  <si>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</si>
  <si>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</si>
  <si>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</si>
  <si>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</si>
  <si>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</si>
  <si>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</si>
  <si>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</si>
  <si>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</si>
  <si>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</si>
  <si>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</si>
  <si>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</si>
  <si>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</si>
  <si>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</si>
  <si>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</si>
  <si>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</si>
  <si>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</si>
  <si>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</si>
  <si>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</si>
  <si>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</si>
  <si>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</si>
  <si>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</si>
  <si>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</si>
  <si>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</si>
  <si>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</si>
  <si>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</si>
  <si>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</si>
  <si>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</si>
  <si>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</si>
  <si>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</si>
  <si>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</si>
  <si>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</si>
  <si>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</si>
  <si>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</si>
  <si>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</si>
  <si>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</si>
  <si>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</si>
  <si>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</si>
  <si>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</si>
  <si>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</si>
  <si>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</si>
  <si>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</si>
  <si>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</si>
  <si>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</si>
  <si>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</si>
  <si>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</si>
  <si>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</si>
  <si>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</si>
  <si>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</si>
  <si>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</si>
  <si>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</si>
  <si>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</si>
  <si>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</si>
  <si>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</si>
  <si>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</si>
  <si>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</si>
  <si>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</si>
  <si>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</si>
  <si>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</si>
  <si>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</si>
  <si>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</si>
  <si>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</si>
  <si>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</si>
  <si>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</si>
  <si>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</si>
  <si>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</si>
  <si>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</si>
  <si>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</si>
  <si>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</si>
  <si>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</si>
  <si>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</si>
  <si>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</si>
  <si>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</si>
  <si>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</si>
  <si>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</si>
  <si>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</si>
  <si>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</si>
  <si>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</si>
  <si>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</si>
  <si>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</si>
  <si>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</si>
  <si>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</si>
  <si>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</si>
  <si>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</si>
  <si>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</si>
  <si>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</si>
  <si>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</si>
  <si>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</si>
  <si>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</si>
  <si>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</si>
  <si>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</si>
  <si>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</si>
  <si>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</si>
  <si>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</si>
  <si>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</si>
  <si>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</si>
  <si>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</si>
  <si>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</si>
  <si>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</si>
  <si>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</si>
  <si>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</si>
  <si>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</si>
  <si>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</si>
  <si>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</si>
  <si>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</si>
  <si>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</si>
  <si>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</si>
  <si>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</si>
  <si>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</si>
  <si>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</si>
  <si>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</si>
  <si>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</si>
  <si>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</si>
  <si>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</si>
  <si>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</si>
  <si>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</si>
  <si>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</si>
  <si>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</si>
  <si>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</si>
  <si>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</si>
  <si>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</si>
  <si>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</si>
  <si>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</si>
  <si>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</si>
  <si>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</si>
  <si>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</si>
  <si>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</si>
  <si>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</si>
  <si>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</si>
  <si>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</si>
  <si>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</si>
  <si>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</si>
  <si>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</si>
  <si>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</si>
  <si>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</si>
  <si>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</si>
  <si>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</si>
  <si>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</si>
  <si>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</si>
  <si>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</si>
  <si>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</si>
  <si>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</si>
  <si>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</si>
  <si>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</si>
  <si>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</si>
  <si>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</si>
  <si>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</si>
  <si>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</si>
  <si>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</si>
  <si>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</si>
  <si>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</si>
  <si>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</si>
  <si>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</si>
  <si>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</si>
  <si>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</si>
  <si>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</si>
  <si>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</si>
  <si>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</si>
  <si>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</si>
  <si>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</si>
  <si>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</si>
  <si>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</si>
  <si>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</si>
  <si>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</si>
  <si>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</si>
  <si>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</si>
  <si>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</si>
  <si>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</si>
  <si>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</si>
  <si>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</si>
  <si>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</si>
  <si>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</si>
  <si>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</si>
  <si>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</si>
  <si>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</si>
  <si>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</si>
  <si>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</si>
  <si>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</si>
  <si>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</si>
  <si>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</si>
  <si>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</si>
  <si>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</si>
  <si>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</si>
  <si>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</si>
  <si>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</si>
  <si>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</si>
  <si>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</si>
  <si>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</si>
  <si>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</si>
  <si>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</si>
  <si>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</si>
  <si>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</si>
  <si>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</si>
  <si>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</si>
  <si>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</si>
  <si>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</si>
  <si>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</si>
  <si>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</si>
  <si>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</si>
  <si>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</si>
  <si>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</si>
  <si>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</si>
  <si>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</si>
  <si>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</si>
  <si>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</si>
  <si>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</si>
  <si>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</si>
  <si>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</si>
  <si>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</si>
  <si>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</si>
  <si>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</si>
  <si>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</si>
  <si>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</si>
  <si>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</si>
  <si>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</si>
  <si>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</si>
  <si>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</si>
  <si>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</si>
  <si>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</si>
  <si>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</si>
  <si>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</si>
  <si>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</si>
  <si>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</si>
  <si>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</si>
  <si>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</si>
  <si>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</si>
  <si>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</si>
  <si>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</si>
  <si>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</si>
  <si>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</si>
  <si>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</si>
  <si>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</si>
  <si>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</si>
  <si>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</si>
  <si>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</si>
  <si>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</si>
  <si>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</si>
  <si>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</si>
  <si>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</si>
  <si>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</si>
  <si>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</si>
  <si>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</si>
  <si>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</si>
  <si>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</si>
  <si>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</si>
  <si>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</si>
  <si>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</si>
  <si>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</si>
  <si>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</si>
  <si>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</si>
  <si>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</si>
  <si>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</si>
  <si>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</si>
  <si>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</si>
  <si>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</si>
  <si>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</si>
  <si>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</si>
  <si>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</si>
  <si>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</si>
  <si>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</si>
  <si>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</si>
  <si>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</si>
  <si>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</si>
  <si>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</si>
  <si>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</si>
  <si>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</si>
  <si>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</si>
  <si>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</si>
  <si>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</si>
  <si>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</si>
  <si>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</si>
  <si>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</si>
  <si>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</si>
  <si>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</si>
  <si>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</si>
  <si>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</si>
  <si>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</si>
  <si>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</si>
  <si>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</si>
  <si>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</si>
  <si>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</si>
  <si>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</si>
  <si>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</si>
  <si>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</si>
  <si>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</si>
  <si>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</si>
  <si>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</si>
  <si>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</si>
  <si>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</si>
  <si>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</si>
  <si>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</si>
  <si>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</si>
  <si>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</si>
  <si>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</si>
  <si>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</si>
  <si>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</si>
  <si>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</si>
  <si>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</si>
  <si>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</si>
  <si>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</si>
  <si>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</si>
  <si>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</si>
  <si>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</si>
  <si>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</si>
  <si>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</si>
  <si>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</si>
  <si>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</si>
  <si>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</si>
  <si>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</si>
  <si>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</si>
  <si>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</si>
  <si>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</si>
  <si>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</si>
  <si>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</si>
  <si>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</si>
  <si>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</si>
  <si>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</si>
  <si>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</si>
  <si>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</si>
  <si>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</si>
  <si>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</si>
  <si>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</si>
  <si>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</si>
  <si>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</si>
  <si>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</si>
  <si>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</si>
  <si>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</si>
  <si>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</si>
  <si>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</si>
  <si>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</si>
  <si>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</si>
  <si>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</si>
  <si>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</si>
  <si>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</si>
  <si>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</si>
  <si>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</si>
  <si>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</si>
  <si>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</si>
  <si>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</si>
  <si>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</si>
  <si>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</si>
  <si>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</si>
  <si>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</si>
  <si>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</si>
  <si>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</si>
  <si>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</si>
  <si>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</si>
  <si>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</si>
  <si>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</si>
  <si>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</si>
  <si>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</si>
  <si>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</si>
  <si>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</si>
  <si>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</si>
  <si>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</si>
  <si>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</si>
  <si>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</si>
  <si>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</si>
  <si>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</si>
  <si>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</si>
  <si>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</si>
  <si>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</si>
  <si>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</si>
  <si>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</si>
  <si>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</si>
  <si>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</si>
  <si>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</si>
  <si>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</si>
  <si>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</si>
  <si>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</si>
  <si>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</si>
  <si>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</si>
  <si>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</si>
  <si>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</si>
  <si>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</si>
  <si>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</si>
  <si>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</si>
  <si>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</si>
  <si>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</si>
  <si>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</si>
  <si>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</si>
  <si>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</si>
  <si>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</si>
  <si>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</si>
  <si>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</si>
  <si>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</si>
  <si>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</si>
  <si>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</si>
  <si>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</si>
  <si>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</si>
  <si>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</si>
  <si>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</si>
  <si>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</si>
  <si>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</si>
  <si>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</si>
  <si>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</si>
  <si>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</si>
  <si>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</si>
  <si>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</si>
  <si>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</si>
  <si>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</si>
  <si>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</si>
  <si>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</si>
  <si>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</si>
  <si>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</si>
  <si>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</si>
  <si>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</si>
  <si>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</si>
  <si>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</si>
  <si>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</si>
  <si>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</si>
  <si>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</si>
  <si>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</si>
  <si>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</si>
  <si>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</si>
  <si>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</si>
  <si>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</si>
  <si>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</si>
  <si>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</si>
  <si>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</si>
  <si>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</si>
  <si>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</si>
  <si>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</si>
  <si>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</si>
  <si>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</si>
  <si>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</si>
  <si>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</si>
  <si>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</si>
  <si>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</si>
  <si>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</si>
  <si>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</si>
  <si>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</si>
  <si>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</si>
  <si>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</si>
  <si>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</si>
  <si>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</si>
  <si>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</si>
  <si>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</si>
  <si>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</si>
  <si>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</si>
  <si>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</si>
  <si>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</si>
  <si>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</si>
  <si>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</si>
  <si>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</si>
  <si>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</si>
  <si>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</si>
  <si>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</si>
  <si>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</si>
  <si>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</si>
  <si>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</si>
  <si>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</si>
  <si>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</si>
  <si>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</si>
  <si>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</si>
  <si>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</si>
  <si>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</si>
  <si>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</si>
  <si>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</si>
  <si>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</si>
  <si>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</si>
  <si>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</si>
  <si>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</si>
  <si>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</si>
  <si>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</si>
  <si>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</si>
  <si>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</si>
  <si>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</si>
  <si>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</si>
  <si>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</si>
  <si>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</si>
  <si>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</si>
  <si>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</si>
  <si>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</si>
  <si>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</si>
  <si>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</si>
  <si>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</si>
  <si>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</si>
  <si>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</si>
  <si>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</si>
  <si>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</si>
  <si>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</si>
  <si>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</si>
  <si>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</si>
  <si>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</si>
  <si>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</si>
  <si>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</si>
  <si>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</si>
  <si>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</si>
  <si>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</si>
  <si>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</si>
  <si>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</si>
  <si>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</si>
  <si>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</si>
  <si>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</si>
  <si>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</si>
  <si>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</si>
  <si>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</si>
  <si>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</si>
  <si>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</si>
  <si>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</si>
  <si>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</si>
  <si>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</si>
  <si>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</si>
  <si>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</si>
  <si>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</si>
  <si>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</si>
  <si>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</si>
  <si>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</si>
  <si>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</si>
  <si>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</si>
  <si>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</si>
  <si>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</si>
  <si>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</si>
  <si>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</si>
  <si>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</si>
  <si>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</si>
  <si>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</si>
  <si>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</si>
  <si>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</si>
  <si>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</si>
  <si>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</si>
  <si>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</si>
  <si>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</si>
  <si>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</si>
  <si>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</si>
  <si>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</si>
  <si>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</si>
  <si>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</si>
  <si>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</si>
  <si>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</si>
  <si>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</si>
  <si>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</si>
  <si>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</si>
  <si>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</si>
  <si>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</si>
  <si>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</si>
  <si>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</si>
  <si>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</si>
  <si>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</si>
  <si>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</si>
  <si>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</si>
  <si>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</si>
  <si>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</si>
  <si>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</si>
  <si>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</si>
  <si>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</si>
  <si>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</si>
  <si>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</si>
  <si>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</si>
  <si>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</si>
  <si>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</si>
  <si>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</si>
  <si>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</si>
  <si>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</si>
  <si>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</si>
  <si>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</si>
  <si>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</si>
  <si>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</si>
  <si>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</si>
  <si>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</si>
  <si>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</si>
  <si>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</si>
  <si>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</si>
  <si>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</si>
  <si>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</si>
  <si>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</si>
  <si>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</si>
  <si>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</si>
  <si>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</si>
  <si>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</si>
  <si>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</si>
  <si>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</si>
  <si>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</si>
  <si>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</si>
  <si>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</si>
  <si>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</si>
  <si>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</si>
  <si>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</si>
  <si>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</si>
  <si>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</si>
  <si>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</si>
  <si>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</si>
  <si>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</si>
  <si>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</si>
  <si>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</si>
  <si>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</si>
  <si>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</si>
  <si>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</si>
  <si>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</si>
  <si>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</si>
  <si>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</si>
  <si>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</si>
  <si>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</si>
  <si>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</si>
  <si>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</si>
  <si>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</si>
  <si>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</si>
  <si>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</si>
  <si>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</si>
  <si>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</si>
  <si>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</si>
  <si>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</si>
  <si>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</si>
  <si>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</si>
  <si>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</si>
  <si>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</si>
  <si>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</si>
  <si>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</si>
  <si>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</si>
  <si>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</si>
  <si>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</si>
  <si>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</si>
  <si>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</si>
  <si>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</si>
  <si>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</si>
  <si>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</si>
  <si>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</si>
  <si>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</si>
  <si>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</si>
  <si>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</si>
  <si>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</si>
  <si>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</si>
  <si>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</si>
  <si>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</si>
  <si>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</si>
  <si>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</si>
  <si>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</si>
  <si>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</si>
  <si>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</si>
  <si>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</si>
  <si>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</si>
  <si>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</si>
  <si>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</si>
  <si>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</si>
  <si>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</si>
  <si>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</si>
  <si>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</si>
  <si>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</si>
  <si>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</si>
  <si>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</si>
  <si>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</si>
  <si>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</si>
  <si>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</si>
  <si>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</si>
  <si>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</si>
  <si>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</si>
  <si>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</si>
  <si>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</si>
  <si>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</si>
  <si>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</si>
  <si>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</si>
  <si>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</si>
  <si>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</si>
  <si>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</si>
  <si>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</si>
  <si>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</si>
  <si>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</si>
  <si>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</si>
  <si>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</si>
  <si>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</si>
  <si>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</si>
  <si>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</si>
  <si>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</si>
  <si>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</si>
  <si>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</si>
  <si>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</si>
  <si>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</si>
  <si>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</si>
  <si>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</si>
  <si>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</si>
  <si>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</si>
  <si>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</si>
  <si>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</si>
  <si>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</si>
  <si>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</si>
  <si>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</si>
  <si>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</si>
  <si>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</si>
  <si>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</si>
  <si>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</si>
  <si>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</si>
  <si>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</si>
  <si>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</si>
  <si>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</si>
  <si>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</si>
  <si>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</si>
  <si>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</si>
  <si>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</si>
  <si>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</si>
  <si>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</si>
  <si>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</si>
  <si>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</si>
  <si>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</si>
  <si>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</si>
  <si>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</si>
  <si>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</si>
  <si>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</si>
  <si>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</si>
  <si>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</si>
  <si>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</si>
  <si>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</si>
  <si>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</si>
  <si>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</si>
  <si>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</si>
  <si>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</si>
  <si>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</si>
  <si>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</si>
  <si>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</si>
  <si>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</si>
  <si>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</si>
  <si>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</si>
  <si>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</si>
  <si>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</si>
  <si>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</si>
  <si>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</si>
  <si>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</si>
  <si>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</si>
  <si>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</si>
  <si>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</si>
  <si>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</si>
  <si>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</si>
  <si>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</si>
  <si>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</si>
  <si>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</si>
  <si>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</si>
  <si>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</si>
  <si>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</si>
  <si>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</si>
  <si>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</si>
  <si>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</si>
  <si>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</si>
  <si>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</si>
  <si>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</si>
  <si>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</si>
  <si>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</si>
  <si>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</si>
  <si>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</si>
  <si>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</si>
  <si>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</si>
  <si>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</si>
  <si>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</si>
  <si>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</si>
  <si>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</si>
  <si>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</si>
  <si>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</si>
  <si>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</si>
  <si>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</si>
  <si>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</si>
  <si>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</si>
  <si>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</si>
  <si>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</si>
  <si>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</si>
  <si>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</si>
  <si>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</si>
  <si>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</si>
  <si>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</si>
  <si>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</si>
  <si>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</si>
  <si>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</si>
  <si>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</si>
  <si>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</si>
  <si>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</si>
  <si>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</si>
  <si>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</si>
  <si>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</si>
  <si>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</si>
  <si>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</si>
  <si>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</si>
  <si>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</si>
  <si>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</si>
  <si>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</si>
  <si>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</si>
  <si>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</si>
  <si>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</si>
  <si>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</si>
  <si>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</si>
  <si>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</si>
  <si>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</si>
  <si>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</si>
  <si>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</si>
  <si>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</si>
  <si>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</si>
  <si>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</si>
  <si>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</si>
  <si>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</si>
  <si>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</si>
  <si>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</si>
  <si>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</si>
  <si>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</si>
  <si>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</si>
  <si>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</si>
  <si>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</si>
  <si>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</si>
  <si>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</si>
  <si>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</si>
  <si>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</si>
  <si>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</si>
  <si>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</si>
  <si>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</si>
  <si>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</si>
  <si>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</si>
  <si>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</si>
  <si>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</si>
  <si>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</si>
  <si>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</si>
  <si>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</si>
  <si>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</si>
  <si>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</si>
  <si>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</si>
  <si>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</si>
  <si>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</si>
  <si>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</si>
  <si>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</si>
  <si>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</si>
  <si>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</si>
  <si>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</si>
  <si>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</si>
  <si>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</si>
  <si>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</si>
  <si>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</si>
  <si>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</si>
  <si>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</si>
  <si>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</si>
  <si>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</si>
  <si>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</si>
  <si>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</si>
  <si>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</si>
  <si>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</si>
  <si>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</si>
  <si>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</si>
  <si>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</si>
  <si>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</si>
  <si>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</si>
  <si>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</si>
  <si>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</si>
  <si>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</si>
  <si>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</si>
  <si>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</si>
  <si>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</si>
  <si>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</si>
  <si>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</si>
  <si>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</si>
  <si>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</si>
  <si>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</si>
  <si>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</si>
  <si>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</si>
  <si>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</si>
  <si>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</si>
  <si>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</si>
  <si>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</si>
  <si>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</si>
  <si>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</si>
  <si>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</si>
  <si>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</si>
  <si>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</si>
  <si>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</si>
  <si>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</si>
  <si>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</si>
  <si>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</si>
  <si>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</si>
  <si>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</si>
  <si>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</si>
  <si>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</si>
  <si>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</si>
  <si>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</si>
  <si>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</si>
  <si>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</si>
  <si>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</si>
  <si>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</si>
  <si>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</si>
  <si>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</si>
  <si>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</si>
  <si>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</si>
  <si>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</si>
  <si>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</si>
  <si>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</si>
  <si>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</si>
  <si>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</si>
  <si>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</si>
  <si>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</si>
  <si>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</si>
  <si>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</si>
  <si>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</si>
  <si>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</si>
  <si>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</si>
  <si>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</si>
  <si>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</si>
  <si>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</si>
  <si>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</si>
  <si>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</si>
  <si>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</si>
  <si>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</si>
  <si>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</si>
  <si>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</si>
  <si>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</si>
  <si>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</si>
  <si>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</si>
  <si>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</si>
  <si>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</si>
  <si>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</si>
  <si>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</si>
  <si>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</si>
  <si>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</si>
  <si>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</si>
  <si>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</si>
  <si>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</si>
  <si>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</si>
  <si>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</si>
  <si>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</si>
  <si>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</si>
  <si>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</si>
  <si>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</si>
  <si>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</si>
  <si>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</si>
  <si>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</si>
  <si>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</si>
  <si>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</si>
  <si>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</si>
  <si>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</si>
  <si>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</si>
  <si>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</si>
  <si>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</si>
  <si>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</si>
  <si>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</si>
  <si>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</si>
  <si>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</si>
  <si>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</si>
  <si>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</si>
  <si>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</si>
  <si>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</si>
  <si>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</si>
  <si>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</si>
  <si>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</si>
  <si>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</si>
  <si>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</si>
  <si>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</si>
  <si>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</si>
  <si>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</si>
  <si>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</si>
  <si>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</si>
  <si>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</si>
  <si>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</si>
  <si>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</si>
  <si>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</si>
  <si>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</si>
  <si>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</si>
  <si>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</si>
  <si>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</si>
  <si>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</si>
  <si>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</si>
  <si>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</si>
  <si>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</si>
  <si>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</si>
  <si>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</si>
  <si>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</si>
  <si>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</si>
  <si>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</si>
  <si>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</si>
  <si>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</si>
  <si>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</si>
  <si>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</si>
  <si>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</si>
  <si>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</si>
  <si>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</si>
  <si>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</si>
  <si>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</si>
  <si>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</si>
  <si>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</si>
  <si>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</si>
  <si>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</si>
  <si>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</si>
  <si>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</si>
  <si>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</si>
  <si>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</si>
  <si>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</si>
  <si>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</si>
  <si>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</si>
  <si>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</si>
  <si>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</si>
  <si>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</si>
  <si>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</si>
  <si>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</si>
  <si>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</si>
  <si>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</si>
  <si>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</si>
  <si>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</si>
  <si>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</si>
  <si>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</si>
  <si>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</si>
  <si>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</si>
  <si>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</si>
  <si>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</si>
  <si>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</si>
  <si>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</si>
  <si>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</si>
  <si>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</si>
  <si>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</si>
  <si>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</si>
  <si>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</si>
  <si>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</si>
  <si>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</si>
  <si>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</si>
  <si>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</si>
  <si>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</si>
  <si>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</si>
  <si>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</si>
  <si>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</si>
  <si>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</si>
  <si>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</si>
  <si>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</si>
  <si>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</si>
  <si>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</si>
  <si>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</si>
  <si>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</si>
  <si>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</si>
  <si>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</si>
  <si>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</si>
  <si>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</si>
  <si>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</si>
  <si>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</si>
  <si>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</si>
  <si>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</si>
  <si>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</si>
  <si>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</si>
  <si>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</si>
  <si>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</si>
  <si>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</si>
  <si>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</si>
  <si>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</si>
  <si>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</si>
  <si>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</si>
  <si>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</si>
  <si>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</si>
  <si>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</si>
  <si>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</si>
  <si>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</si>
  <si>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</si>
  <si>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</si>
  <si>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</si>
  <si>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</si>
  <si>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</si>
  <si>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</si>
  <si>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</si>
  <si>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</si>
  <si>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</si>
  <si>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</si>
  <si>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</si>
  <si>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</si>
  <si>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</si>
  <si>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</si>
  <si>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</si>
  <si>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</si>
  <si>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</si>
  <si>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</si>
  <si>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</si>
  <si>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</si>
  <si>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</si>
  <si>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</si>
  <si>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</si>
  <si>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</si>
  <si>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</si>
  <si>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</si>
  <si>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</si>
  <si>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</si>
  <si>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</si>
  <si>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</si>
  <si>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</si>
  <si>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</si>
  <si>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</si>
  <si>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</si>
  <si>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</si>
  <si>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</si>
  <si>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</si>
  <si>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</si>
  <si>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</si>
  <si>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</si>
  <si>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</si>
  <si>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</si>
  <si>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</si>
  <si>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</si>
  <si>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</si>
  <si>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</si>
  <si>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</si>
  <si>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</si>
  <si>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</si>
  <si>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</si>
  <si>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</si>
  <si>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</si>
  <si>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</si>
  <si>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</si>
  <si>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</si>
  <si>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</si>
  <si>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</si>
  <si>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</si>
  <si>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</si>
  <si>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</si>
  <si>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</si>
  <si>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</si>
  <si>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</si>
  <si>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</si>
  <si>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</si>
  <si>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</si>
  <si>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</si>
  <si>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</si>
  <si>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</si>
  <si>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</si>
  <si>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</si>
  <si>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</si>
  <si>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</si>
  <si>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</si>
  <si>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</si>
  <si>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</si>
  <si>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</si>
  <si>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</si>
  <si>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</si>
  <si>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</si>
  <si>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</si>
  <si>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</si>
  <si>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</si>
  <si>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</si>
  <si>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</si>
  <si>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</si>
  <si>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</si>
  <si>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</si>
  <si>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</si>
  <si>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</si>
  <si>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</si>
  <si>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</si>
  <si>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</si>
  <si>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</si>
  <si>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</si>
  <si>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</si>
  <si>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</si>
  <si>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</si>
  <si>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</si>
  <si>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</si>
  <si>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</si>
  <si>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</si>
  <si>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</si>
  <si>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</si>
  <si>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</si>
  <si>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</si>
  <si>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</si>
  <si>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</si>
  <si>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</si>
  <si>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</si>
  <si>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</si>
  <si>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</si>
  <si>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</si>
  <si>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</si>
  <si>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</si>
  <si>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</si>
  <si>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</si>
  <si>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</si>
  <si>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</si>
  <si>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</si>
  <si>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</si>
  <si>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</si>
  <si>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</si>
  <si>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</si>
  <si>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</si>
  <si>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</si>
  <si>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</si>
  <si>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</si>
  <si>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</si>
  <si>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</si>
  <si>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</si>
  <si>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</si>
  <si>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</si>
  <si>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</si>
  <si>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</si>
  <si>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</si>
  <si>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</si>
  <si>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</si>
  <si>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</si>
  <si>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</si>
  <si>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</si>
  <si>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</si>
  <si>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</si>
  <si>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</si>
  <si>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</si>
  <si>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</si>
  <si>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</si>
  <si>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</si>
  <si>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</si>
  <si>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</si>
  <si>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</si>
  <si>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</si>
  <si>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</si>
  <si>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</si>
  <si>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</si>
  <si>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</si>
  <si>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</si>
  <si>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</si>
  <si>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</si>
  <si>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</si>
  <si>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</si>
  <si>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</si>
  <si>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</si>
  <si>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</si>
  <si>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</si>
  <si>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</si>
  <si>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</si>
  <si>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</si>
  <si>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</si>
  <si>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</si>
  <si>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</si>
  <si>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</si>
  <si>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</si>
  <si>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</si>
  <si>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</si>
  <si>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</si>
  <si>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</si>
  <si>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</si>
  <si>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</si>
  <si>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</si>
  <si>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</si>
  <si>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</si>
  <si>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</si>
  <si>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</si>
  <si>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</si>
  <si>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</si>
  <si>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</si>
  <si>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</si>
  <si>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</si>
  <si>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</si>
  <si>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</si>
  <si>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</si>
  <si>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</si>
  <si>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</si>
  <si>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</si>
  <si>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</si>
  <si>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</si>
  <si>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</si>
  <si>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</si>
  <si>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</si>
  <si>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</si>
  <si>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</si>
  <si>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</si>
  <si>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</si>
  <si>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</si>
  <si>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</si>
  <si>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</si>
  <si>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</si>
  <si>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</si>
  <si>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</si>
  <si>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</si>
  <si>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</si>
  <si>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</si>
  <si>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</si>
  <si>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</si>
  <si>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</si>
  <si>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</si>
  <si>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</si>
  <si>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</si>
  <si>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</si>
  <si>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</si>
  <si>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</si>
  <si>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</si>
  <si>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</si>
  <si>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</si>
  <si>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</si>
  <si>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</si>
  <si>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</si>
  <si>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</si>
  <si>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</si>
  <si>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</si>
  <si>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</si>
  <si>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</si>
  <si>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</si>
  <si>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</si>
  <si>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</si>
  <si>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</si>
  <si>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</si>
  <si>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</si>
  <si>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</si>
  <si>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</si>
  <si>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</si>
  <si>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</si>
  <si>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</si>
  <si>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</si>
  <si>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</si>
  <si>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</si>
  <si>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</si>
  <si>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</si>
  <si>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</si>
  <si>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</si>
  <si>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</si>
  <si>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</si>
  <si>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</si>
  <si>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</si>
  <si>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</si>
  <si>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</si>
  <si>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</si>
  <si>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</si>
  <si>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</si>
  <si>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</si>
  <si>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</si>
  <si>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</si>
  <si>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</si>
  <si>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</si>
  <si>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</si>
  <si>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</si>
  <si>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</si>
  <si>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</si>
  <si>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</si>
  <si>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</si>
  <si>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</si>
  <si>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</si>
  <si>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</si>
  <si>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</si>
  <si>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</si>
  <si>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</si>
  <si>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</si>
  <si>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</si>
  <si>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</si>
  <si>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</si>
  <si>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</si>
  <si>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</si>
  <si>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</si>
  <si>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</si>
  <si>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</si>
  <si>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</si>
  <si>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</si>
  <si>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</si>
  <si>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</si>
  <si>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</si>
  <si>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</si>
  <si>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</si>
  <si>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</si>
  <si>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</si>
  <si>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</si>
  <si>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</si>
  <si>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</si>
  <si>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</si>
  <si>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</si>
  <si>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</si>
  <si>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</si>
  <si>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</si>
  <si>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</si>
  <si>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</si>
  <si>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</si>
  <si>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</si>
  <si>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</si>
  <si>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</si>
  <si>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</si>
  <si>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</si>
  <si>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</si>
  <si>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</si>
  <si>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</si>
  <si>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</si>
  <si>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</si>
  <si>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</si>
  <si>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</si>
  <si>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</si>
  <si>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</si>
  <si>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</si>
  <si>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</si>
  <si>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</si>
  <si>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</si>
  <si>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</si>
  <si>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</si>
  <si>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</si>
  <si>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</si>
  <si>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</si>
  <si>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</si>
  <si>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</si>
  <si>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</si>
  <si>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</si>
  <si>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</si>
  <si>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</si>
  <si>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</si>
  <si>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</si>
  <si>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</si>
  <si>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</si>
  <si>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</si>
  <si>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</si>
  <si>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</si>
  <si>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</si>
  <si>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</si>
  <si>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</si>
  <si>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</si>
  <si>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</si>
  <si>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</si>
  <si>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</si>
  <si>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</si>
  <si>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</si>
  <si>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</si>
  <si>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</si>
  <si>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</si>
  <si>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</si>
  <si>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</si>
  <si>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</si>
  <si>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</si>
  <si>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</si>
  <si>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</si>
  <si>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</si>
  <si>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</si>
  <si>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</si>
  <si>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</si>
  <si>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</si>
  <si>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</si>
  <si>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</si>
  <si>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</si>
  <si>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</si>
  <si>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</si>
  <si>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</si>
  <si>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</si>
  <si>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</si>
  <si>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</si>
  <si>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</si>
  <si>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</si>
  <si>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</si>
  <si>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</si>
  <si>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</si>
  <si>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</si>
  <si>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</si>
  <si>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</si>
  <si>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</si>
  <si>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</si>
  <si>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</si>
  <si>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</si>
  <si>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</si>
  <si>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</si>
  <si>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</si>
  <si>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</si>
  <si>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</si>
  <si>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</si>
  <si>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</si>
  <si>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</si>
  <si>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</si>
  <si>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</si>
  <si>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</si>
  <si>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</si>
  <si>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</si>
  <si>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</si>
  <si>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</si>
  <si>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</si>
  <si>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</si>
  <si>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</si>
  <si>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</si>
  <si>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</si>
  <si>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</si>
  <si>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</si>
  <si>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</si>
  <si>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</si>
  <si>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</si>
  <si>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</si>
  <si>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</si>
  <si>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</si>
  <si>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</si>
  <si>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</si>
  <si>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</si>
  <si>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</si>
  <si>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</si>
  <si>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</si>
  <si>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</si>
  <si>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</si>
  <si>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</si>
  <si>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</si>
  <si>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</si>
  <si>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</si>
  <si>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</si>
  <si>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</si>
  <si>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</si>
  <si>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</si>
  <si>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</si>
  <si>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</si>
  <si>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</si>
  <si>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</si>
  <si>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</si>
  <si>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</si>
  <si>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</si>
  <si>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</si>
  <si>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</si>
  <si>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</si>
  <si>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</si>
  <si>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</si>
  <si>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</si>
  <si>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</si>
  <si>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</si>
  <si>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</si>
  <si>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</si>
  <si>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</si>
  <si>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</si>
  <si>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</si>
  <si>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</si>
  <si>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</si>
  <si>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</si>
  <si>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</si>
  <si>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</si>
  <si>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</si>
  <si>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</si>
  <si>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</si>
  <si>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</si>
  <si>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</si>
  <si>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</si>
  <si>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</si>
  <si>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</si>
  <si>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</si>
  <si>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</si>
  <si>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</si>
  <si>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</si>
  <si>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</si>
  <si>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</si>
  <si>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</si>
  <si>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</si>
  <si>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</si>
  <si>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</si>
  <si>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</si>
  <si>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</si>
  <si>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</si>
  <si>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</si>
  <si>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</si>
  <si>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</si>
  <si>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</si>
  <si>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</si>
  <si>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</si>
  <si>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</si>
  <si>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</si>
  <si>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</si>
  <si>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</si>
  <si>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</si>
  <si>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</si>
  <si>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</si>
  <si>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</si>
  <si>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</si>
  <si>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</si>
  <si>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</si>
  <si>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</si>
  <si>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</si>
  <si>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</si>
  <si>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</si>
  <si>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</si>
  <si>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</si>
  <si>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</si>
  <si>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</si>
  <si>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</si>
  <si>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</si>
  <si>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</si>
  <si>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</si>
  <si>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</si>
  <si>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</si>
  <si>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</si>
  <si>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</si>
  <si>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</si>
  <si>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</si>
  <si>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</si>
  <si>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</si>
  <si>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</si>
  <si>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</si>
  <si>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</si>
  <si>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</si>
  <si>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</si>
  <si>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</si>
  <si>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</si>
  <si>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</si>
  <si>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</si>
  <si>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</si>
  <si>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</si>
  <si>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</si>
  <si>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</si>
  <si>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</si>
  <si>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</si>
  <si>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</si>
  <si>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</si>
  <si>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</si>
  <si>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</si>
  <si>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</si>
  <si>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</si>
  <si>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</si>
  <si>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</si>
  <si>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</si>
  <si>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</si>
  <si>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</si>
  <si>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</si>
  <si>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</si>
  <si>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</si>
  <si>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</si>
  <si>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</si>
  <si>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</si>
  <si>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</si>
  <si>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</si>
  <si>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</si>
  <si>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</si>
  <si>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</si>
  <si>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</si>
  <si>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</si>
  <si>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</si>
  <si>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</si>
  <si>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</si>
  <si>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</si>
  <si>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</si>
  <si>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</si>
  <si>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</si>
  <si>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</si>
  <si>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</si>
  <si>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</si>
  <si>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</si>
  <si>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</si>
  <si>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</si>
  <si>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</si>
  <si>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</si>
  <si>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</si>
  <si>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</si>
  <si>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</si>
  <si>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</si>
  <si>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</si>
  <si>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</si>
  <si>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</si>
  <si>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</si>
  <si>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</si>
  <si>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</si>
  <si>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</si>
  <si>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</si>
  <si>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</si>
  <si>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</si>
  <si>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</si>
  <si>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</si>
  <si>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</si>
  <si>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</si>
  <si>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</si>
  <si>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</si>
  <si>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</si>
  <si>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</si>
  <si>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</si>
  <si>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</si>
  <si>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</si>
  <si>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</si>
  <si>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</si>
  <si>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</si>
  <si>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</si>
  <si>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</si>
  <si>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</si>
  <si>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</si>
  <si>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</si>
  <si>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</si>
  <si>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</si>
  <si>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</si>
  <si>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</si>
  <si>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</si>
  <si>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</si>
  <si>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</si>
  <si>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</si>
  <si>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</si>
  <si>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</si>
  <si>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</si>
  <si>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</si>
  <si>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</si>
  <si>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</si>
  <si>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</si>
  <si>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</si>
  <si>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</si>
  <si>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</si>
  <si>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</si>
  <si>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</si>
  <si>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</si>
  <si>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</si>
  <si>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</si>
  <si>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</si>
  <si>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</si>
  <si>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</si>
  <si>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</si>
  <si>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</si>
  <si>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</si>
  <si>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</si>
  <si>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</si>
  <si>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</si>
  <si>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</si>
  <si>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</si>
  <si>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</si>
  <si>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</si>
  <si>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</si>
  <si>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</si>
  <si>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</si>
  <si>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</si>
  <si>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</si>
  <si>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</si>
  <si>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</si>
  <si>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</si>
  <si>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</si>
  <si>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</si>
  <si>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</si>
  <si>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</si>
  <si>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</si>
  <si>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</si>
  <si>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</si>
  <si>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</si>
  <si>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</si>
  <si>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</si>
  <si>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</si>
  <si>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</si>
  <si>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</si>
  <si>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</si>
  <si>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</si>
  <si>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</si>
  <si>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</si>
  <si>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</si>
  <si>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</si>
  <si>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</si>
  <si>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</si>
  <si>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</si>
  <si>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</si>
  <si>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</si>
  <si>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</si>
  <si>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</si>
  <si>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</si>
  <si>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</si>
  <si>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</si>
  <si>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</si>
  <si>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</si>
  <si>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</si>
  <si>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</si>
  <si>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</si>
  <si>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</si>
  <si>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</si>
  <si>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</si>
  <si>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</si>
  <si>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</si>
  <si>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</si>
  <si>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</si>
  <si>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</si>
  <si>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</si>
  <si>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</si>
  <si>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</si>
  <si>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</si>
  <si>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</si>
  <si>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</si>
  <si>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</si>
  <si>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</si>
  <si>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</si>
  <si>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</si>
  <si>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</si>
  <si>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</si>
  <si>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</si>
  <si>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</si>
  <si>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</si>
  <si>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</si>
  <si>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</si>
  <si>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</si>
  <si>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</si>
  <si>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</si>
  <si>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</si>
  <si>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</si>
  <si>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</si>
  <si>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</si>
  <si>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</si>
  <si>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</si>
  <si>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</si>
  <si>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</si>
  <si>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</si>
  <si>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</si>
  <si>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</si>
  <si>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</si>
  <si>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</si>
  <si>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</si>
  <si>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</si>
  <si>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</si>
  <si>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</si>
  <si>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</si>
  <si>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</si>
  <si>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</si>
  <si>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</si>
  <si>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</si>
  <si>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</si>
  <si>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</si>
  <si>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</si>
  <si>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</si>
  <si>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</si>
  <si>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</si>
  <si>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</si>
  <si>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</si>
  <si>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</si>
  <si>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</si>
  <si>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</si>
  <si>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</si>
  <si>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</si>
  <si>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</si>
  <si>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</si>
  <si>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</si>
  <si>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</si>
  <si>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</si>
  <si>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</si>
  <si>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</si>
  <si>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</si>
  <si>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</si>
  <si>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</si>
  <si>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</si>
  <si>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</si>
  <si>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</si>
  <si>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</si>
  <si>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</si>
  <si>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</si>
  <si>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</si>
  <si>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</si>
  <si>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</si>
  <si>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</si>
  <si>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</si>
  <si>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</si>
  <si>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</si>
  <si>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</si>
  <si>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</si>
  <si>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</si>
  <si>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</si>
  <si>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</si>
  <si>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</si>
  <si>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</si>
  <si>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</si>
  <si>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</si>
  <si>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</si>
  <si>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</si>
  <si>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</si>
  <si>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</si>
  <si>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</si>
  <si>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</si>
  <si>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</si>
  <si>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</si>
  <si>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</si>
  <si>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</si>
  <si>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</si>
  <si>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</si>
  <si>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</si>
  <si>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</si>
  <si>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</si>
  <si>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</si>
  <si>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</si>
  <si>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</si>
  <si>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</si>
  <si>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</si>
  <si>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</si>
  <si>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</si>
  <si>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</si>
  <si>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</si>
  <si>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</si>
  <si>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</si>
  <si>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</si>
  <si>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</si>
  <si>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</si>
  <si>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</si>
  <si>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</si>
  <si>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</si>
  <si>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</si>
  <si>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</si>
  <si>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</si>
  <si>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</si>
  <si>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</si>
  <si>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</si>
  <si>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</si>
  <si>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</si>
  <si>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</si>
  <si>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</si>
  <si>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</si>
  <si>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</si>
  <si>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</si>
  <si>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</si>
  <si>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</si>
  <si>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</si>
  <si>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</si>
  <si>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</si>
  <si>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</si>
  <si>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</si>
  <si>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</si>
  <si>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</si>
  <si>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</si>
  <si>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</si>
  <si>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</si>
  <si>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</si>
  <si>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</si>
  <si>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</si>
  <si>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</si>
  <si>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</si>
  <si>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</si>
  <si>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</si>
  <si>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</si>
  <si>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</si>
  <si>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</si>
  <si>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</si>
  <si>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</si>
  <si>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</si>
  <si>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</si>
  <si>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</si>
  <si>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</si>
  <si>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</si>
  <si>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</si>
  <si>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</si>
  <si>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</si>
  <si>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</si>
  <si>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</si>
  <si>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</si>
  <si>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</si>
  <si>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</si>
  <si>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</si>
  <si>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</si>
  <si>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</si>
  <si>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</si>
  <si>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</si>
  <si>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</si>
  <si>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</si>
  <si>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</si>
  <si>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</si>
  <si>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</si>
  <si>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</si>
  <si>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</si>
  <si>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</si>
  <si>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</si>
  <si>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</si>
  <si>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</si>
  <si>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</si>
  <si>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</si>
  <si>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</si>
  <si>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</si>
  <si>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</si>
  <si>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</si>
  <si>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</si>
  <si>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</si>
  <si>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</si>
  <si>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</si>
  <si>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</si>
  <si>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</si>
  <si>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</si>
  <si>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</si>
  <si>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</si>
  <si>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</si>
  <si>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</si>
  <si>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</si>
  <si>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</si>
  <si>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</si>
  <si>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</si>
  <si>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</si>
  <si>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</si>
  <si>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</si>
  <si>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</si>
  <si>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</si>
  <si>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</si>
  <si>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</si>
  <si>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</si>
  <si>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</si>
  <si>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</si>
  <si>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</si>
  <si>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</si>
  <si>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</si>
  <si>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</si>
  <si>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</si>
  <si>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</si>
  <si>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</si>
  <si>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</si>
  <si>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</si>
  <si>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</si>
  <si>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</si>
  <si>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</si>
  <si>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</si>
  <si>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</si>
  <si>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</si>
  <si>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</si>
  <si>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</si>
  <si>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</si>
  <si>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</si>
  <si>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</si>
  <si>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</si>
  <si>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</si>
  <si>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</si>
  <si>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</si>
  <si>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</si>
  <si>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</si>
  <si>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</si>
  <si>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</si>
  <si>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</si>
  <si>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</si>
  <si>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</si>
  <si>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</si>
  <si>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</si>
  <si>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</si>
  <si>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</si>
  <si>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</si>
  <si>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</si>
  <si>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</si>
  <si>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</si>
  <si>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</si>
  <si>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</si>
  <si>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</si>
  <si>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</si>
  <si>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</si>
  <si>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</si>
  <si>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</si>
  <si>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</si>
  <si>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</si>
  <si>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</si>
  <si>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</si>
  <si>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</si>
  <si>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</si>
  <si>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</si>
  <si>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</si>
  <si>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</si>
  <si>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</si>
  <si>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</si>
  <si>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</si>
  <si>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</si>
  <si>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</si>
  <si>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</si>
  <si>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</si>
  <si>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</si>
  <si>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</si>
  <si>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</si>
  <si>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</si>
  <si>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</si>
  <si>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</si>
  <si>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</si>
  <si>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</si>
  <si>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</si>
  <si>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</si>
  <si>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</si>
  <si>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</si>
  <si>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</si>
  <si>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</si>
  <si>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</si>
  <si>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</si>
  <si>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</si>
  <si>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</si>
  <si>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</si>
  <si>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</si>
  <si>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</si>
  <si>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</si>
  <si>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</si>
  <si>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</si>
  <si>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</si>
  <si>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</si>
  <si>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</si>
  <si>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</si>
  <si>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</si>
  <si>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</si>
  <si>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</si>
  <si>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</si>
  <si>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</si>
  <si>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</si>
  <si>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</si>
  <si>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</si>
  <si>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</si>
  <si>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</si>
  <si>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</si>
  <si>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</si>
  <si>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</si>
  <si>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</si>
  <si>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</si>
  <si>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</si>
  <si>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</si>
  <si>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</si>
  <si>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</si>
  <si>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</si>
  <si>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</si>
  <si>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</si>
  <si>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</si>
  <si>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</si>
  <si>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</si>
  <si>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</si>
  <si>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</si>
  <si>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</si>
  <si>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</si>
  <si>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</si>
  <si>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</si>
  <si>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</si>
  <si>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</si>
  <si>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</si>
  <si>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</si>
  <si>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</si>
  <si>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</si>
  <si>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</si>
  <si>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</si>
  <si>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</si>
  <si>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</si>
  <si>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</si>
  <si>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</si>
  <si>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</si>
  <si>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</si>
  <si>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</si>
  <si>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</si>
  <si>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</si>
  <si>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</si>
  <si>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</si>
  <si>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</si>
  <si>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</si>
  <si>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</si>
  <si>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</si>
  <si>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</si>
  <si>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</si>
  <si>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</si>
  <si>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</si>
  <si>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</si>
  <si>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</si>
  <si>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</si>
  <si>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</si>
  <si>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</si>
  <si>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</si>
  <si>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</si>
  <si>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</si>
  <si>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</si>
  <si>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</si>
  <si>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</si>
  <si>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</si>
  <si>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</si>
  <si>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</si>
  <si>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</si>
  <si>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</si>
  <si>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</si>
  <si>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</si>
  <si>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</si>
  <si>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</si>
  <si>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</si>
  <si>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</si>
  <si>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</si>
  <si>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</si>
  <si>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</si>
  <si>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</si>
  <si>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</si>
  <si>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</si>
  <si>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</si>
  <si>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</si>
  <si>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</si>
  <si>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</si>
  <si>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</si>
  <si>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</si>
  <si>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</si>
  <si>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</si>
  <si>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</si>
  <si>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</si>
  <si>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</si>
  <si>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</si>
  <si>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</si>
  <si>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</si>
  <si>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</si>
  <si>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</si>
  <si>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</si>
  <si>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</si>
  <si>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</si>
  <si>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</si>
  <si>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</si>
  <si>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</si>
  <si>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</si>
  <si>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</si>
  <si>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</si>
  <si>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</si>
  <si>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</si>
  <si>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</si>
  <si>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</si>
  <si>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</si>
  <si>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</si>
  <si>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</si>
  <si>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</si>
  <si>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</si>
  <si>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</si>
  <si>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</si>
  <si>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</si>
  <si>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</si>
  <si>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</si>
  <si>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</si>
  <si>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</si>
  <si>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</si>
  <si>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</si>
  <si>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</si>
  <si>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</si>
  <si>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</si>
  <si>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</si>
  <si>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</si>
  <si>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</si>
  <si>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</si>
  <si>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</si>
  <si>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</si>
  <si>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</si>
  <si>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</si>
  <si>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</si>
  <si>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</si>
  <si>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</si>
  <si>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</si>
  <si>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</si>
  <si>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</si>
  <si>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</si>
  <si>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</si>
  <si>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</si>
  <si>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</si>
  <si>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</si>
  <si>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</si>
  <si>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</si>
  <si>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</si>
  <si>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</si>
  <si>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</si>
  <si>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</si>
  <si>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</si>
  <si>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</si>
  <si>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</si>
  <si>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</si>
  <si>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</si>
  <si>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</si>
  <si>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</si>
  <si>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</si>
  <si>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</si>
  <si>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</si>
  <si>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</si>
  <si>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</si>
  <si>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</si>
  <si>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</si>
  <si>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</si>
  <si>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</si>
  <si>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</si>
  <si>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</si>
  <si>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</si>
  <si>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</si>
  <si>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</si>
  <si>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</si>
  <si>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</si>
  <si>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</si>
  <si>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</si>
  <si>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</si>
  <si>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</si>
  <si>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</si>
  <si>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</si>
  <si>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</si>
  <si>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</si>
  <si>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</si>
  <si>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</si>
  <si>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</si>
  <si>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</si>
  <si>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</si>
  <si>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</si>
  <si>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</si>
  <si>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</si>
  <si>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</si>
  <si>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</si>
  <si>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</si>
  <si>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</si>
  <si>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</si>
  <si>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</si>
  <si>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</si>
  <si>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</si>
  <si>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</si>
  <si>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</si>
  <si>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</si>
  <si>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</si>
  <si>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</si>
  <si>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</si>
  <si>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</si>
  <si>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</si>
  <si>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</si>
  <si>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</si>
  <si>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</si>
  <si>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</si>
  <si>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</si>
  <si>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</si>
  <si>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</si>
  <si>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</si>
  <si>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</si>
  <si>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</si>
  <si>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</si>
  <si>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</si>
  <si>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</si>
  <si>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</si>
  <si>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</si>
  <si>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</si>
  <si>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</si>
  <si>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</si>
  <si>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</si>
  <si>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</si>
  <si>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</si>
  <si>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</si>
  <si>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</si>
  <si>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</si>
  <si>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</si>
  <si>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</si>
  <si>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</si>
  <si>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</si>
  <si>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</si>
  <si>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</si>
  <si>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</si>
  <si>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</si>
  <si>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</si>
  <si>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</si>
  <si>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</si>
  <si>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</si>
  <si>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</si>
  <si>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</si>
  <si>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</si>
  <si>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</si>
  <si>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</si>
  <si>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</si>
  <si>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</si>
  <si>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</si>
  <si>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</si>
  <si>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</si>
  <si>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</si>
  <si>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</si>
  <si>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</si>
  <si>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</si>
  <si>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</si>
  <si>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</si>
  <si>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</si>
  <si>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</si>
  <si>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</si>
  <si>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</si>
  <si>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</si>
  <si>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</si>
  <si>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</si>
  <si>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</si>
  <si>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</si>
  <si>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</si>
  <si>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</si>
  <si>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</si>
  <si>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</si>
  <si>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</si>
  <si>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</si>
  <si>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</si>
  <si>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</si>
  <si>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</si>
  <si>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</si>
  <si>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</si>
  <si>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</si>
  <si>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</si>
  <si>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</si>
  <si>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</si>
  <si>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</si>
  <si>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</si>
  <si>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</si>
  <si>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</si>
  <si>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</si>
  <si>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</si>
  <si>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</si>
  <si>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</si>
  <si>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</si>
  <si>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</si>
  <si>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</si>
  <si>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</si>
  <si>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</si>
  <si>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</si>
  <si>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</si>
  <si>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</si>
  <si>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</si>
  <si>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</si>
  <si>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</si>
  <si>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</si>
  <si>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</si>
  <si>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</si>
  <si>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</si>
  <si>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</si>
  <si>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</si>
  <si>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</si>
  <si>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</si>
  <si>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</si>
  <si>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</si>
  <si>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</si>
  <si>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</si>
  <si>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</si>
  <si>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</si>
  <si>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</si>
  <si>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</si>
  <si>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</si>
  <si>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</si>
  <si>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</si>
  <si>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</si>
  <si>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</si>
  <si>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</si>
  <si>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</si>
  <si>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</si>
  <si>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</si>
  <si>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</si>
  <si>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</si>
  <si>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</si>
  <si>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</si>
  <si>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</si>
  <si>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</si>
  <si>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</si>
  <si>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</si>
  <si>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</si>
  <si>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</si>
  <si>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</si>
  <si>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</si>
  <si>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</si>
  <si>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</si>
  <si>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</si>
  <si>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</si>
  <si>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</si>
  <si>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</si>
  <si>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</si>
  <si>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</si>
  <si>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</si>
  <si>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</si>
  <si>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</si>
  <si>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</si>
  <si>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</si>
  <si>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</si>
  <si>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</si>
  <si>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</si>
  <si>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</si>
  <si>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</si>
  <si>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</si>
  <si>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</si>
  <si>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</si>
  <si>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</si>
  <si>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</si>
  <si>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</si>
  <si>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</si>
  <si>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</si>
  <si>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</si>
  <si>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</si>
  <si>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</si>
  <si>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</si>
  <si>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</si>
  <si>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</si>
  <si>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</si>
  <si>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</si>
  <si>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</si>
  <si>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</si>
  <si>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</si>
  <si>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</si>
  <si>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</si>
  <si>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</si>
  <si>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</si>
  <si>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</si>
  <si>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</si>
  <si>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</si>
  <si>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</si>
  <si>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</si>
  <si>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</si>
  <si>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</si>
  <si>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</si>
  <si>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</si>
  <si>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</si>
  <si>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</si>
  <si>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</si>
  <si>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</si>
  <si>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</si>
  <si>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</si>
  <si>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</si>
  <si>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</si>
  <si>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</si>
  <si>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</si>
  <si>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</si>
  <si>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</si>
  <si>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</si>
  <si>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</si>
  <si>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</si>
  <si>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</si>
  <si>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</si>
  <si>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</si>
  <si>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</si>
  <si>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</si>
  <si>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</si>
  <si>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</si>
  <si>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</si>
  <si>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</si>
  <si>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</si>
  <si>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</si>
  <si>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</si>
  <si>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</si>
  <si>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</si>
  <si>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</si>
  <si>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</si>
  <si>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</si>
  <si>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</si>
  <si>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</si>
  <si>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</si>
  <si>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</si>
  <si>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</si>
  <si>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</si>
  <si>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</si>
  <si>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</si>
  <si>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</si>
  <si>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</si>
  <si>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</si>
  <si>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</si>
  <si>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</si>
  <si>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</si>
  <si>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</si>
  <si>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</si>
  <si>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</si>
  <si>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</si>
  <si>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</si>
  <si>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</si>
  <si>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</si>
  <si>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</si>
  <si>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</si>
  <si>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</si>
  <si>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</si>
  <si>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</si>
  <si>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</si>
  <si>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</si>
  <si>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</si>
  <si>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</si>
  <si>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</si>
  <si>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</si>
  <si>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</si>
  <si>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</si>
  <si>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</si>
  <si>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</si>
  <si>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</si>
  <si>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</si>
  <si>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</si>
  <si>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</si>
  <si>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</si>
  <si>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</si>
  <si>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</si>
  <si>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</si>
  <si>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</si>
  <si>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</si>
  <si>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</si>
  <si>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</si>
  <si>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</si>
  <si>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</si>
  <si>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</si>
  <si>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</si>
  <si>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</si>
  <si>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</si>
  <si>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</si>
  <si>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</si>
  <si>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</si>
  <si>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</si>
  <si>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</si>
  <si>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</si>
  <si>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</si>
  <si>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</si>
  <si>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</si>
  <si>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</si>
  <si>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</si>
  <si>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</si>
  <si>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</si>
  <si>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</si>
  <si>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</si>
  <si>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</si>
  <si>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</si>
  <si>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</si>
  <si>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</si>
  <si>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</si>
  <si>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</si>
  <si>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</si>
  <si>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</si>
  <si>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</si>
  <si>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</si>
  <si>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</si>
  <si>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</si>
  <si>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</si>
  <si>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</si>
  <si>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</si>
  <si>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</si>
  <si>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</si>
  <si>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</si>
  <si>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</si>
  <si>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</si>
  <si>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</si>
  <si>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</si>
  <si>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</si>
  <si>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</si>
  <si>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</si>
  <si>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</si>
  <si>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</si>
  <si>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</si>
  <si>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</si>
  <si>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</si>
  <si>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</si>
  <si>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</si>
  <si>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</si>
  <si>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</si>
  <si>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</si>
  <si>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</si>
  <si>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</si>
  <si>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</si>
  <si>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</si>
  <si>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</si>
  <si>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</si>
  <si>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</si>
  <si>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</si>
  <si>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</si>
  <si>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</si>
  <si>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</si>
  <si>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</si>
  <si>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</si>
  <si>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</si>
  <si>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</si>
  <si>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</si>
  <si>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</si>
  <si>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</si>
  <si>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</si>
  <si>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</si>
  <si>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</si>
  <si>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</si>
  <si>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</si>
  <si>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</si>
  <si>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</si>
  <si>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</si>
  <si>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</si>
  <si>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</si>
  <si>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</si>
  <si>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</si>
  <si>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</si>
  <si>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</si>
  <si>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</si>
  <si>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</si>
  <si>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</si>
  <si>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</si>
  <si>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</si>
  <si>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</si>
  <si>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</si>
  <si>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</si>
  <si>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</si>
  <si>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</si>
  <si>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</si>
  <si>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</si>
  <si>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</si>
  <si>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</si>
  <si>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</si>
  <si>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</si>
  <si>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</si>
  <si>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</si>
  <si>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</si>
  <si>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</si>
  <si>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</si>
  <si>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</si>
  <si>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</si>
  <si>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</si>
  <si>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</si>
  <si>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</si>
  <si>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</si>
  <si>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</si>
  <si>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</si>
  <si>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</si>
  <si>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</si>
  <si>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</si>
  <si>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</si>
  <si>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</si>
  <si>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</si>
  <si>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</si>
  <si>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</si>
  <si>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</si>
  <si>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</si>
  <si>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</si>
  <si>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</si>
  <si>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</si>
  <si>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</si>
  <si>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</si>
  <si>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</si>
  <si>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</si>
  <si>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</si>
  <si>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</si>
  <si>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</si>
  <si>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</si>
  <si>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</si>
  <si>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</si>
  <si>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</si>
  <si>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</si>
  <si>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</si>
  <si>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</si>
  <si>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</si>
  <si>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</si>
  <si>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</si>
  <si>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</si>
  <si>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</si>
  <si>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</si>
  <si>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</si>
  <si>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</si>
  <si>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</si>
  <si>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</si>
  <si>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</si>
  <si>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</si>
  <si>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</si>
  <si>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</si>
  <si>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</si>
  <si>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</si>
  <si>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</si>
  <si>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</si>
  <si>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</si>
  <si>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</si>
  <si>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</si>
  <si>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</si>
  <si>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</si>
  <si>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</si>
  <si>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</si>
  <si>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</si>
  <si>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</si>
  <si>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</si>
  <si>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</si>
  <si>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</si>
  <si>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</si>
  <si>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</si>
  <si>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</si>
  <si>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</si>
  <si>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</si>
  <si>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</si>
  <si>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</si>
  <si>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</si>
  <si>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</si>
  <si>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</si>
  <si>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</si>
  <si>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</si>
  <si>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</si>
  <si>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</si>
  <si>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</si>
  <si>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</si>
  <si>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</si>
  <si>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</si>
  <si>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</si>
  <si>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</si>
  <si>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</si>
  <si>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</si>
  <si>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</si>
  <si>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</si>
  <si>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</si>
  <si>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</si>
  <si>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</si>
  <si>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</si>
  <si>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</si>
  <si>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</si>
  <si>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</si>
  <si>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</si>
  <si>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</si>
  <si>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</si>
  <si>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</si>
  <si>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</si>
  <si>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</si>
  <si>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</si>
  <si>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</si>
  <si>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</si>
  <si>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</si>
  <si>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</si>
  <si>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</si>
  <si>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</si>
  <si>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</si>
  <si>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</si>
  <si>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</si>
  <si>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</si>
  <si>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</si>
  <si>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</si>
  <si>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</si>
  <si>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</si>
  <si>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</si>
  <si>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</si>
  <si>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</si>
  <si>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</si>
  <si>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</si>
  <si>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</si>
  <si>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</si>
  <si>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</si>
  <si>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</si>
  <si>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</si>
  <si>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</si>
  <si>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</si>
  <si>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</si>
  <si>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</si>
  <si>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</si>
  <si>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</si>
  <si>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</si>
  <si>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</si>
  <si>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</si>
  <si>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</si>
  <si>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</si>
  <si>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</si>
  <si>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</si>
  <si>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</si>
  <si>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</si>
  <si>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</si>
  <si>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</si>
  <si>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</si>
  <si>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</si>
  <si>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</si>
  <si>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</si>
  <si>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</si>
  <si>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</si>
  <si>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</si>
  <si>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</si>
  <si>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</si>
  <si>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</si>
  <si>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</si>
  <si>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</si>
  <si>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</si>
  <si>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</si>
  <si>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</si>
  <si>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</si>
  <si>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</si>
  <si>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</si>
  <si>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</si>
  <si>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</si>
  <si>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</si>
  <si>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</si>
  <si>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</si>
  <si>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</si>
  <si>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</si>
  <si>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</si>
  <si>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</si>
  <si>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</si>
  <si>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</si>
  <si>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</si>
  <si>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</si>
  <si>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</si>
  <si>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</si>
  <si>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</si>
  <si>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</si>
  <si>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</si>
  <si>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</si>
  <si>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</si>
  <si>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</si>
  <si>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</si>
  <si>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</si>
  <si>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</si>
  <si>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</si>
  <si>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</si>
  <si>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</si>
  <si>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</si>
  <si>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</si>
  <si>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</si>
  <si>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</si>
  <si>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</si>
  <si>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</si>
  <si>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</si>
  <si>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</si>
  <si>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</si>
  <si>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</si>
  <si>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</si>
  <si>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</si>
  <si>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</si>
  <si>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</si>
  <si>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</si>
  <si>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</si>
  <si>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</si>
  <si>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</si>
  <si>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</si>
  <si>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</si>
  <si>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</si>
  <si>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</si>
  <si>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</si>
  <si>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</si>
  <si>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</si>
  <si>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</si>
  <si>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</si>
  <si>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</si>
  <si>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</si>
  <si>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</si>
  <si>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</si>
  <si>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</si>
  <si>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</si>
  <si>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</si>
  <si>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</si>
  <si>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</si>
  <si>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</si>
  <si>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</si>
  <si>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</si>
  <si>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</si>
  <si>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</si>
  <si>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</si>
  <si>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</si>
  <si>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</si>
  <si>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</si>
  <si>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</si>
  <si>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</si>
  <si>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</si>
  <si>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</si>
  <si>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</si>
  <si>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</si>
  <si>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</si>
  <si>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</si>
  <si>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</si>
  <si>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</si>
  <si>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</si>
  <si>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</si>
  <si>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</si>
  <si>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</si>
  <si>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</si>
  <si>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</si>
  <si>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</si>
  <si>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</si>
  <si>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</si>
  <si>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</si>
  <si>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</si>
  <si>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</si>
  <si>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</si>
  <si>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</si>
  <si>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</si>
  <si>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</si>
  <si>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</si>
  <si>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</si>
  <si>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</si>
  <si>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</si>
  <si>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</si>
  <si>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</si>
  <si>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</si>
  <si>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</si>
  <si>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</si>
  <si>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</si>
  <si>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</si>
  <si>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</si>
  <si>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</si>
  <si>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</si>
  <si>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</si>
  <si>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</si>
  <si>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</si>
  <si>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</si>
  <si>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</si>
  <si>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</si>
  <si>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</si>
  <si>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</si>
  <si>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</si>
  <si>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</si>
  <si>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</si>
  <si>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</si>
  <si>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</si>
  <si>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</si>
  <si>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</si>
  <si>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</si>
  <si>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</si>
  <si>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</si>
  <si>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</si>
  <si>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</si>
  <si>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</si>
  <si>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</si>
  <si>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</si>
  <si>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</si>
  <si>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</si>
  <si>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</si>
  <si>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</si>
  <si>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</si>
  <si>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</si>
  <si>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</si>
  <si>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</si>
  <si>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</si>
  <si>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</si>
  <si>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</si>
  <si>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</si>
  <si>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</si>
  <si>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</si>
  <si>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</si>
  <si>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</si>
  <si>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</si>
  <si>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</si>
  <si>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</si>
  <si>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</si>
  <si>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</si>
  <si>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</si>
  <si>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</si>
  <si>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</si>
  <si>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</si>
  <si>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</si>
  <si>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</si>
  <si>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</si>
  <si>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</si>
  <si>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</si>
  <si>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</si>
  <si>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</si>
  <si>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</si>
  <si>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</si>
  <si>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</si>
  <si>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</si>
  <si>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</si>
  <si>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</si>
  <si>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</si>
  <si>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</si>
  <si>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</si>
  <si>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</si>
  <si>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</si>
  <si>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</si>
  <si>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</si>
  <si>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</si>
  <si>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</si>
  <si>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</si>
  <si>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</si>
  <si>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</si>
  <si>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</si>
  <si>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</si>
  <si>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</si>
  <si>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</si>
  <si>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</si>
  <si>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</si>
  <si>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</si>
  <si>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</si>
  <si>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</si>
  <si>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</si>
  <si>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</si>
  <si>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</si>
  <si>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</si>
  <si>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</si>
  <si>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</si>
  <si>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</si>
  <si>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</si>
  <si>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</si>
  <si>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</si>
  <si>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</si>
  <si>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</si>
  <si>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</si>
  <si>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</si>
  <si>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</si>
  <si>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</si>
  <si>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</si>
  <si>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</si>
  <si>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</si>
  <si>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</si>
  <si>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</si>
  <si>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</si>
  <si>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</si>
  <si>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</si>
  <si>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</si>
  <si>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</si>
  <si>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</si>
  <si>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</si>
  <si>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</si>
  <si>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</si>
  <si>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</si>
  <si>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</si>
  <si>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</si>
  <si>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</si>
  <si>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</si>
  <si>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</si>
  <si>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</si>
  <si>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</si>
  <si>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</si>
  <si>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</si>
  <si>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</si>
  <si>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</si>
  <si>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</si>
  <si>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</si>
  <si>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</si>
  <si>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</si>
  <si>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</si>
  <si>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</si>
  <si>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</si>
  <si>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</si>
  <si>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</si>
  <si>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</si>
  <si>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</si>
  <si>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</si>
  <si>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</si>
  <si>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</si>
  <si>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</si>
  <si>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</si>
  <si>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</si>
  <si>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</si>
  <si>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</si>
  <si>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</si>
  <si>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</si>
  <si>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</si>
  <si>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</si>
  <si>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</si>
  <si>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</si>
  <si>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</si>
  <si>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</si>
  <si>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</si>
  <si>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</si>
  <si>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</si>
  <si>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</si>
  <si>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</si>
  <si>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</si>
  <si>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</si>
  <si>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</si>
  <si>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</si>
  <si>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</si>
  <si>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</si>
  <si>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</si>
  <si>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</si>
  <si>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</si>
  <si>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</si>
  <si>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</si>
  <si>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</si>
  <si>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</si>
  <si>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</si>
  <si>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</si>
  <si>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</si>
  <si>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</si>
  <si>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</si>
  <si>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</si>
  <si>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</si>
  <si>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</si>
  <si>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</si>
  <si>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</si>
  <si>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</si>
  <si>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</si>
  <si>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</si>
  <si>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</si>
  <si>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</si>
  <si>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</si>
  <si>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</si>
  <si>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</si>
  <si>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</si>
  <si>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</si>
  <si>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</si>
  <si>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</si>
  <si>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</si>
  <si>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</si>
  <si>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</si>
  <si>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</si>
  <si>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</si>
  <si>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</si>
  <si>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</si>
  <si>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</si>
  <si>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</si>
  <si>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</si>
  <si>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</si>
  <si>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</si>
  <si>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</si>
  <si>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</si>
  <si>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</si>
  <si>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</si>
  <si>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</si>
  <si>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</si>
  <si>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</si>
  <si>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</si>
  <si>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</si>
  <si>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</si>
  <si>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</si>
  <si>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</si>
  <si>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</si>
  <si>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</si>
  <si>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</si>
  <si>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</si>
  <si>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</si>
  <si>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</si>
  <si>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</si>
  <si>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</si>
  <si>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</si>
  <si>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</si>
  <si>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</si>
  <si>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</si>
  <si>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</si>
  <si>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</si>
  <si>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</si>
  <si>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</si>
  <si>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</si>
  <si>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</si>
  <si>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</si>
  <si>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</si>
  <si>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</si>
  <si>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</si>
  <si>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</si>
  <si>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</si>
  <si>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</si>
  <si>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</si>
  <si>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</si>
  <si>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</si>
  <si>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</si>
  <si>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</si>
  <si>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</si>
  <si>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</si>
  <si>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</si>
  <si>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</si>
  <si>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</si>
  <si>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</si>
  <si>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</si>
  <si>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</si>
  <si>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</si>
  <si>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</si>
  <si>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</si>
  <si>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</si>
  <si>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</si>
  <si>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</si>
  <si>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</si>
  <si>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</si>
  <si>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</si>
  <si>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</si>
  <si>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</si>
  <si>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</si>
  <si>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</si>
  <si>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</si>
  <si>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</si>
  <si>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</si>
  <si>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</si>
  <si>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</si>
  <si>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</si>
  <si>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</si>
  <si>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</si>
  <si>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</si>
  <si>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</si>
  <si>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</si>
  <si>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</si>
  <si>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</si>
  <si>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</si>
  <si>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</si>
  <si>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</si>
  <si>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</si>
  <si>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</si>
  <si>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</si>
  <si>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</si>
  <si>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</si>
  <si>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</si>
  <si>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</si>
  <si>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</si>
  <si>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</si>
  <si>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</si>
  <si>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</si>
  <si>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</si>
  <si>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</si>
  <si>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</si>
  <si>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</si>
  <si>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</si>
  <si>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</si>
  <si>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</si>
  <si>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</si>
  <si>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</si>
  <si>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</si>
  <si>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</si>
  <si>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</si>
  <si>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</si>
  <si>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</si>
  <si>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</si>
  <si>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</si>
  <si>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</si>
  <si>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</si>
  <si>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</si>
  <si>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</si>
  <si>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</si>
  <si>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</si>
  <si>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</si>
  <si>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</si>
  <si>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</si>
  <si>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</si>
  <si>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</si>
  <si>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</si>
  <si>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</si>
  <si>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</si>
  <si>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</si>
  <si>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</si>
  <si>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</si>
  <si>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</si>
  <si>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</si>
  <si>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</si>
  <si>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</si>
  <si>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</si>
  <si>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</si>
  <si>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</si>
  <si>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</si>
  <si>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</si>
  <si>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</si>
  <si>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</si>
  <si>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</si>
  <si>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</si>
  <si>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</si>
  <si>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</si>
  <si>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</si>
  <si>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</si>
  <si>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</si>
  <si>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</si>
  <si>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</si>
  <si>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</si>
  <si>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</si>
  <si>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</si>
  <si>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</si>
  <si>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</si>
  <si>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</si>
  <si>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</si>
  <si>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</si>
  <si>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</si>
  <si>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</si>
  <si>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</si>
  <si>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</si>
  <si>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</si>
  <si>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</si>
  <si>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</si>
  <si>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</si>
  <si>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</si>
  <si>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</si>
  <si>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</si>
  <si>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</si>
  <si>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</si>
  <si>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</si>
  <si>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</si>
  <si>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</si>
  <si>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</si>
  <si>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</si>
  <si>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</si>
  <si>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</si>
  <si>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</si>
  <si>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</si>
  <si>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</si>
  <si>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</si>
  <si>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</si>
  <si>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</si>
  <si>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</si>
  <si>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</si>
  <si>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</si>
  <si>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</si>
  <si>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</si>
  <si>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</si>
  <si>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</si>
  <si>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</si>
  <si>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</si>
  <si>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</si>
  <si>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</si>
  <si>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</si>
  <si>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</si>
  <si>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</si>
  <si>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</si>
  <si>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</si>
  <si>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</si>
  <si>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</si>
  <si>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</si>
  <si>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</si>
  <si>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</si>
  <si>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</si>
  <si>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</si>
  <si>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</si>
  <si>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</si>
  <si>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</si>
  <si>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</si>
  <si>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</si>
  <si>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</si>
  <si>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</si>
  <si>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</si>
  <si>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</si>
  <si>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</si>
  <si>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</si>
  <si>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</si>
  <si>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</si>
  <si>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</si>
  <si>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</si>
  <si>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</si>
  <si>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</si>
  <si>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</si>
  <si>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</si>
  <si>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</si>
  <si>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</si>
  <si>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</si>
  <si>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</si>
  <si>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</si>
  <si>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</si>
  <si>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</si>
  <si>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</si>
  <si>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</si>
  <si>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</si>
  <si>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</si>
  <si>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</si>
  <si>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</si>
  <si>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</si>
  <si>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</si>
  <si>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</si>
  <si>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</si>
  <si>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</si>
  <si>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</si>
  <si>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</si>
  <si>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</si>
  <si>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</si>
  <si>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</si>
  <si>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</si>
  <si>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</si>
  <si>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</si>
  <si>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</si>
  <si>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</si>
  <si>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</si>
  <si>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</si>
  <si>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</si>
  <si>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</si>
  <si>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</si>
  <si>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</si>
  <si>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</si>
  <si>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</si>
  <si>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</si>
  <si>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</si>
  <si>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</si>
  <si>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</si>
  <si>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</si>
  <si>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</si>
  <si>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</si>
  <si>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</si>
  <si>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</si>
  <si>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</si>
  <si>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</si>
  <si>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</si>
  <si>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</si>
  <si>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</si>
  <si>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</si>
  <si>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</si>
  <si>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</si>
  <si>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</si>
  <si>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</si>
  <si>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</si>
  <si>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</si>
  <si>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</si>
  <si>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</si>
  <si>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</si>
  <si>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</si>
  <si>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</si>
  <si>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</si>
  <si>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</si>
  <si>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</si>
  <si>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</si>
  <si>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</si>
  <si>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</si>
  <si>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</si>
  <si>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</si>
  <si>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</si>
  <si>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</si>
  <si>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</si>
  <si>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</si>
  <si>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</si>
  <si>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</si>
  <si>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</si>
  <si>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</si>
  <si>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</si>
  <si>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</si>
  <si>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</si>
  <si>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</si>
  <si>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</si>
  <si>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</si>
  <si>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</si>
  <si>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</si>
  <si>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</si>
  <si>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</si>
  <si>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</si>
  <si>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</si>
  <si>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</si>
  <si>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</si>
  <si>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</si>
  <si>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</si>
  <si>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</si>
  <si>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</si>
  <si>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</si>
  <si>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</si>
  <si>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</si>
  <si>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</si>
  <si>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</si>
  <si>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</si>
  <si>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</si>
  <si>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</si>
  <si>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</si>
  <si>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</si>
  <si>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</si>
  <si>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</si>
  <si>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</si>
  <si>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</si>
  <si>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</si>
  <si>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</si>
  <si>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</si>
  <si>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</si>
  <si>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</si>
  <si>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</si>
  <si>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</si>
  <si>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</si>
  <si>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</si>
  <si>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</si>
  <si>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</si>
  <si>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</si>
  <si>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</si>
  <si>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</si>
  <si>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</si>
  <si>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</si>
  <si>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</si>
  <si>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</si>
  <si>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</si>
  <si>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</si>
  <si>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</si>
  <si>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</si>
  <si>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</si>
  <si>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</si>
  <si>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</si>
  <si>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</si>
  <si>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</si>
  <si>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</si>
  <si>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</si>
  <si>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</si>
  <si>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</si>
  <si>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</si>
  <si>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</si>
  <si>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</si>
  <si>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</si>
  <si>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</si>
  <si>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</si>
  <si>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</si>
  <si>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</si>
  <si>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</si>
  <si>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</si>
  <si>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</si>
  <si>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</si>
  <si>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</si>
  <si>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</si>
  <si>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</si>
  <si>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</si>
  <si>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</si>
  <si>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</si>
  <si>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</si>
  <si>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</si>
  <si>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</si>
  <si>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</si>
  <si>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</si>
  <si>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</si>
  <si>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</si>
  <si>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</si>
  <si>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</si>
  <si>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</si>
  <si>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</si>
  <si>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</si>
  <si>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</si>
  <si>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</si>
  <si>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</si>
  <si>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</si>
  <si>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</si>
  <si>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</si>
  <si>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</si>
  <si>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</si>
  <si>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</si>
  <si>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</si>
  <si>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</si>
  <si>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</si>
  <si>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</si>
  <si>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</si>
  <si>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</si>
  <si>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</si>
  <si>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</si>
  <si>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</si>
  <si>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</si>
  <si>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</si>
  <si>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</si>
  <si>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</si>
  <si>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</si>
  <si>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</si>
  <si>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</si>
  <si>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</si>
  <si>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</si>
  <si>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</si>
  <si>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</si>
  <si>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</si>
  <si>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</si>
  <si>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</si>
  <si>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</si>
  <si>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</si>
  <si>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</si>
  <si>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</si>
  <si>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</si>
  <si>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</si>
  <si>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</si>
  <si>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</si>
  <si>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</si>
  <si>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</si>
  <si>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</si>
  <si>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</si>
  <si>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</si>
  <si>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</si>
  <si>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</si>
  <si>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</si>
  <si>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</si>
  <si>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</si>
  <si>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</si>
  <si>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</si>
  <si>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</si>
  <si>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</si>
  <si>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</si>
  <si>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</si>
  <si>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</si>
  <si>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</si>
  <si>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</si>
  <si>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</si>
  <si>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</si>
  <si>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</si>
  <si>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</si>
  <si>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</si>
  <si>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</si>
  <si>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</si>
  <si>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</si>
  <si>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</si>
  <si>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</si>
  <si>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</si>
  <si>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</si>
  <si>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</si>
  <si>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</si>
  <si>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</si>
  <si>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</si>
  <si>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</si>
  <si>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</si>
  <si>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</si>
  <si>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</si>
  <si>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</si>
  <si>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</si>
  <si>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</si>
  <si>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</si>
  <si>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</si>
  <si>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</si>
  <si>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</si>
  <si>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</si>
  <si>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</si>
  <si>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</si>
  <si>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</si>
  <si>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</si>
  <si>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</si>
  <si>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</si>
  <si>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</si>
  <si>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</si>
  <si>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</si>
  <si>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</si>
  <si>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</si>
  <si>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</si>
  <si>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</si>
  <si>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</si>
  <si>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</si>
  <si>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</si>
  <si>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</si>
  <si>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</si>
  <si>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</si>
  <si>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</si>
  <si>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</si>
  <si>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</si>
  <si>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</si>
  <si>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</si>
  <si>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</si>
  <si>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</si>
  <si>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</si>
  <si>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</si>
  <si>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</si>
  <si>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</si>
  <si>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</si>
  <si>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</si>
  <si>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</si>
  <si>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</si>
  <si>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</si>
  <si>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</si>
  <si>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</si>
  <si>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</si>
  <si>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</si>
  <si>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</si>
  <si>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</si>
  <si>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</si>
  <si>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</si>
  <si>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</si>
  <si>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</si>
  <si>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</si>
  <si>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</si>
  <si>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</si>
  <si>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</si>
  <si>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</si>
  <si>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</si>
  <si>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</si>
  <si>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</si>
  <si>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</si>
  <si>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</si>
  <si>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</si>
  <si>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</si>
  <si>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</si>
  <si>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</si>
  <si>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</si>
  <si>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</si>
  <si>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</si>
  <si>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</si>
  <si>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</si>
  <si>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</si>
  <si>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</si>
  <si>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</si>
  <si>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</si>
  <si>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</si>
  <si>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</si>
  <si>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</si>
  <si>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</si>
  <si>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</si>
  <si>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</si>
  <si>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</si>
  <si>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</si>
  <si>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</si>
  <si>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</si>
  <si>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</si>
  <si>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</si>
  <si>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</si>
  <si>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</si>
  <si>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</si>
  <si>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</si>
  <si>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</si>
  <si>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</si>
  <si>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</si>
  <si>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</si>
  <si>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</si>
  <si>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</si>
  <si>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</si>
  <si>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</si>
  <si>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</si>
  <si>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</si>
  <si>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</si>
  <si>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</si>
  <si>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</si>
  <si>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</si>
  <si>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</si>
  <si>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</si>
  <si>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</si>
  <si>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</si>
  <si>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</si>
  <si>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</si>
  <si>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</si>
  <si>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</si>
  <si>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</si>
  <si>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</si>
  <si>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</si>
  <si>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</si>
  <si>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</si>
  <si>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</si>
  <si>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</si>
  <si>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</si>
  <si>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</si>
  <si>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</si>
  <si>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</si>
  <si>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</si>
  <si>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</si>
  <si>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</si>
  <si>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</si>
  <si>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</si>
  <si>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</si>
  <si>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</si>
  <si>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</si>
  <si>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</si>
  <si>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</si>
  <si>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</si>
  <si>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</si>
  <si>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</si>
  <si>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</si>
  <si>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</si>
  <si>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</si>
  <si>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</si>
  <si>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</si>
  <si>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</si>
  <si>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</si>
  <si>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</si>
  <si>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</si>
  <si>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</si>
  <si>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</si>
  <si>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</si>
  <si>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</si>
  <si>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</si>
  <si>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</si>
  <si>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</si>
  <si>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</si>
  <si>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</si>
  <si>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</si>
  <si>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</si>
  <si>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</si>
  <si>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</si>
  <si>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</si>
  <si>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</si>
  <si>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</si>
  <si>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</si>
  <si>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</si>
  <si>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</si>
  <si>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</si>
  <si>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</si>
  <si>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</si>
  <si>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</si>
  <si>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</si>
  <si>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</si>
  <si>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</si>
  <si>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</si>
  <si>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</si>
  <si>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</si>
  <si>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</si>
  <si>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</si>
  <si>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</si>
  <si>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</si>
  <si>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</si>
  <si>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</si>
  <si>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</si>
  <si>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</si>
  <si>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</si>
  <si>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</si>
  <si>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</si>
  <si>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</si>
  <si>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</si>
  <si>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</si>
  <si>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</si>
  <si>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</si>
  <si>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</si>
  <si>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</si>
  <si>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</si>
  <si>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</si>
  <si>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</si>
  <si>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</si>
  <si>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</si>
  <si>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</si>
  <si>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</si>
  <si>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</si>
  <si>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</si>
  <si>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</si>
  <si>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</si>
  <si>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</si>
  <si>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</si>
  <si>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</si>
  <si>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</si>
  <si>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</si>
  <si>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</si>
  <si>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</si>
  <si>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</si>
  <si>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</si>
  <si>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</si>
  <si>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</si>
  <si>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</si>
  <si>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</si>
  <si>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</si>
  <si>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</si>
  <si>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</si>
  <si>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</si>
  <si>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</si>
  <si>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</si>
  <si>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</si>
  <si>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</si>
  <si>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</si>
  <si>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</si>
  <si>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</si>
  <si>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</si>
  <si>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</si>
  <si>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</si>
  <si>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</si>
  <si>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</si>
  <si>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</si>
  <si>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</si>
  <si>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</si>
  <si>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</si>
  <si>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</si>
  <si>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</si>
  <si>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</si>
  <si>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</si>
  <si>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</si>
  <si>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</si>
  <si>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</si>
  <si>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</si>
  <si>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</si>
  <si>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</si>
  <si>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</si>
  <si>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</si>
  <si>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</si>
  <si>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</si>
  <si>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</si>
  <si>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</si>
  <si>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</si>
  <si>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</si>
  <si>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</si>
  <si>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</si>
  <si>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</si>
  <si>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</si>
  <si>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</si>
  <si>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</si>
  <si>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</si>
  <si>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</si>
  <si>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</si>
  <si>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</si>
  <si>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</si>
  <si>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</si>
  <si>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</si>
  <si>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</si>
  <si>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</si>
  <si>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</si>
  <si>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</si>
  <si>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</si>
  <si>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</si>
  <si>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</si>
  <si>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</si>
  <si>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</si>
  <si>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</si>
  <si>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</si>
  <si>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</si>
  <si>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</si>
  <si>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</si>
  <si>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</si>
  <si>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</si>
  <si>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</si>
  <si>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</si>
  <si>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</si>
  <si>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</si>
  <si>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</si>
  <si>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</si>
  <si>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</si>
  <si>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</si>
  <si>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</si>
  <si>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</si>
  <si>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</si>
  <si>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</si>
  <si>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</si>
  <si>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</si>
  <si>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</si>
  <si>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</si>
  <si>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</si>
  <si>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</si>
  <si>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</si>
  <si>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</si>
  <si>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</si>
  <si>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</si>
  <si>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</si>
  <si>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</si>
  <si>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</si>
  <si>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</si>
  <si>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</si>
  <si>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</si>
  <si>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</si>
  <si>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</si>
  <si>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</si>
  <si>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</si>
  <si>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</si>
  <si>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</si>
  <si>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</si>
  <si>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</si>
  <si>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</si>
  <si>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</si>
  <si>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</si>
  <si>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</si>
  <si>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</si>
  <si>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</si>
  <si>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</si>
  <si>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</si>
  <si>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</si>
  <si>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</si>
  <si>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</si>
  <si>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</si>
  <si>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</si>
  <si>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</si>
  <si>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</si>
  <si>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</si>
  <si>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</si>
  <si>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</si>
  <si>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</si>
  <si>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</si>
  <si>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</si>
  <si>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</si>
  <si>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</si>
  <si>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</si>
  <si>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</si>
  <si>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</si>
  <si>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</si>
  <si>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</si>
  <si>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</si>
  <si>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</si>
  <si>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</si>
  <si>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</si>
  <si>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</si>
  <si>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</si>
  <si>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</si>
  <si>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</si>
  <si>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</si>
  <si>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</si>
  <si>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</si>
  <si>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</si>
  <si>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</si>
  <si>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</si>
  <si>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</si>
  <si>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</si>
  <si>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</si>
  <si>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</si>
  <si>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</si>
  <si>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</si>
  <si>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</si>
  <si>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</si>
  <si>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</si>
  <si>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</si>
  <si>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</si>
  <si>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</si>
  <si>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</si>
  <si>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</si>
  <si>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</si>
  <si>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</si>
  <si>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</si>
  <si>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</si>
  <si>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</si>
  <si>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</si>
  <si>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</si>
  <si>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</si>
  <si>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</si>
  <si>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</si>
  <si>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</si>
  <si>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</si>
  <si>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</si>
  <si>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</si>
  <si>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</si>
  <si>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</si>
  <si>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</si>
  <si>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</si>
  <si>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</si>
  <si>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</si>
  <si>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</si>
  <si>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</si>
  <si>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</si>
  <si>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</si>
  <si>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</si>
  <si>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</si>
  <si>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</si>
  <si>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</si>
  <si>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</si>
  <si>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</si>
  <si>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</si>
  <si>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</si>
  <si>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</si>
  <si>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</si>
  <si>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</si>
  <si>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</si>
  <si>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</si>
  <si>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</si>
  <si>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</si>
  <si>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</si>
  <si>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</si>
  <si>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</si>
  <si>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</si>
  <si>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</si>
  <si>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</si>
  <si>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</si>
  <si>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</si>
  <si>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</si>
  <si>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</si>
  <si>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</si>
  <si>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</si>
  <si>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</si>
  <si>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</si>
  <si>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</si>
  <si>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</si>
  <si>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</si>
  <si>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</si>
  <si>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</si>
  <si>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</si>
  <si>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</si>
  <si>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</si>
  <si>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</si>
  <si>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</si>
  <si>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</si>
  <si>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</si>
  <si>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</si>
  <si>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</si>
  <si>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</si>
  <si>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</si>
  <si>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</si>
  <si>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</si>
  <si>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</si>
  <si>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</si>
  <si>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</si>
  <si>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</si>
  <si>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</si>
  <si>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</si>
  <si>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</si>
  <si>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</si>
  <si>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</si>
  <si>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</si>
  <si>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</si>
  <si>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</si>
  <si>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</si>
  <si>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</si>
  <si>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</si>
  <si>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</si>
  <si>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</si>
  <si>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</si>
  <si>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</si>
  <si>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</si>
  <si>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</si>
  <si>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</si>
  <si>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</si>
  <si>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</si>
  <si>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</si>
  <si>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</si>
  <si>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</si>
  <si>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</si>
  <si>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</si>
  <si>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</si>
  <si>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</si>
  <si>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</si>
  <si>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</si>
  <si>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</si>
  <si>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</si>
  <si>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</si>
  <si>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</si>
  <si>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</si>
  <si>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</si>
  <si>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</si>
  <si>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</si>
  <si>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</si>
  <si>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</si>
  <si>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</si>
  <si>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</si>
  <si>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</si>
  <si>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</si>
  <si>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</si>
  <si>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</si>
  <si>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</si>
  <si>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</si>
  <si>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</si>
  <si>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</si>
  <si>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</si>
  <si>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</si>
  <si>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</si>
  <si>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</si>
  <si>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</si>
  <si>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</si>
  <si>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</si>
  <si>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</si>
  <si>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</si>
  <si>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</si>
  <si>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</si>
  <si>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</si>
  <si>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</si>
  <si>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</si>
  <si>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</si>
  <si>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</si>
  <si>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</si>
  <si>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</si>
  <si>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</si>
  <si>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</si>
  <si>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</si>
  <si>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</si>
  <si>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</si>
  <si>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</si>
  <si>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</si>
  <si>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</si>
  <si>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</si>
  <si>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</si>
  <si>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</si>
  <si>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</si>
  <si>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</si>
  <si>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</si>
  <si>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</si>
  <si>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</si>
  <si>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</si>
  <si>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</si>
  <si>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</si>
  <si>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</si>
  <si>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</si>
  <si>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</si>
  <si>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</si>
  <si>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</si>
  <si>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</si>
  <si>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</si>
  <si>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</si>
  <si>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</si>
  <si>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</si>
  <si>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</si>
  <si>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</si>
  <si>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</si>
  <si>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</si>
  <si>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</si>
  <si>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</si>
  <si>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</si>
  <si>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</si>
  <si>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</si>
  <si>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</si>
  <si>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</si>
  <si>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</si>
  <si>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</si>
  <si>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</si>
  <si>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</si>
  <si>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</si>
  <si>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</si>
  <si>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</si>
  <si>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</si>
  <si>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</si>
  <si>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</si>
  <si>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</si>
  <si>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</si>
  <si>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</si>
  <si>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</si>
  <si>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</si>
  <si>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</si>
  <si>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</si>
  <si>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</si>
  <si>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</si>
  <si>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</si>
  <si>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</si>
  <si>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</si>
  <si>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</si>
  <si>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</si>
  <si>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</si>
  <si>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</si>
  <si>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</si>
  <si>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</si>
  <si>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</si>
  <si>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</si>
  <si>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</si>
  <si>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</si>
  <si>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</si>
  <si>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</si>
  <si>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</si>
  <si>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</si>
  <si>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</si>
  <si>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</si>
  <si>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</si>
  <si>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</si>
  <si>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</si>
  <si>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</si>
  <si>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</si>
  <si>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</si>
  <si>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</si>
  <si>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</si>
  <si>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</si>
  <si>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</si>
  <si>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</si>
  <si>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</si>
  <si>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</si>
  <si>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</si>
  <si>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</si>
  <si>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</si>
  <si>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</si>
  <si>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</si>
  <si>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</si>
  <si>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</si>
  <si>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</si>
  <si>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</si>
  <si>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</si>
  <si>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</si>
  <si>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</si>
  <si>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</si>
  <si>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</si>
  <si>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</si>
  <si>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</si>
  <si>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</si>
  <si>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</si>
  <si>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</si>
  <si>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</si>
  <si>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</si>
  <si>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</si>
  <si>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</si>
  <si>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</si>
  <si>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</si>
  <si>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</si>
  <si>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</si>
  <si>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</si>
  <si>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</si>
  <si>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</si>
  <si>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</si>
  <si>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</si>
  <si>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</si>
  <si>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</si>
  <si>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</si>
  <si>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</si>
  <si>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</si>
  <si>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</si>
  <si>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</si>
  <si>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</si>
  <si>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</si>
  <si>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</si>
  <si>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</si>
  <si>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</si>
  <si>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</si>
  <si>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</si>
  <si>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</si>
  <si>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</si>
  <si>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</si>
  <si>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</si>
  <si>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</si>
  <si>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</si>
  <si>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</si>
  <si>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</si>
  <si>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</si>
  <si>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</si>
  <si>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</si>
  <si>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</si>
  <si>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</si>
  <si>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</si>
  <si>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</si>
  <si>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</si>
  <si>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</si>
  <si>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</si>
  <si>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</si>
  <si>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</si>
  <si>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</si>
  <si>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</si>
  <si>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</si>
  <si>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</si>
  <si>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</si>
  <si>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</si>
  <si>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</si>
  <si>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</si>
  <si>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</si>
  <si>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</si>
  <si>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</si>
  <si>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</si>
  <si>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</si>
  <si>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</si>
  <si>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</si>
  <si>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</si>
  <si>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</si>
  <si>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</si>
  <si>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</si>
  <si>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</si>
  <si>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</si>
  <si>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</si>
  <si>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</si>
  <si>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</si>
  <si>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</si>
  <si>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</si>
  <si>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</si>
  <si>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</si>
  <si>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</si>
  <si>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</si>
  <si>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</si>
  <si>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</si>
  <si>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</si>
  <si>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</si>
  <si>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</si>
  <si>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</si>
  <si>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</si>
  <si>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</si>
  <si>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</si>
  <si>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</si>
  <si>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</si>
  <si>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</si>
  <si>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</si>
  <si>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</si>
  <si>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</si>
  <si>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</si>
  <si>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</si>
  <si>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</si>
  <si>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</si>
  <si>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</si>
  <si>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</si>
  <si>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</si>
  <si>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</si>
  <si>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</si>
  <si>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</si>
  <si>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</si>
  <si>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</si>
  <si>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</si>
  <si>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</si>
  <si>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</si>
  <si>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</si>
  <si>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</si>
  <si>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</si>
  <si>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</si>
  <si>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</si>
  <si>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</si>
  <si>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</si>
  <si>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</si>
  <si>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</si>
  <si>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</si>
  <si>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</si>
  <si>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</si>
  <si>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</si>
  <si>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</si>
  <si>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</si>
  <si>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</si>
  <si>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</si>
  <si>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</si>
  <si>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</si>
  <si>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</si>
  <si>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</si>
  <si>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</si>
  <si>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</si>
  <si>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</si>
  <si>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</si>
  <si>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</si>
  <si>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</si>
  <si>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</si>
  <si>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</si>
  <si>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</si>
  <si>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</si>
  <si>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</si>
  <si>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</si>
  <si>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</si>
  <si>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</si>
  <si>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</si>
  <si>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</si>
  <si>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</si>
  <si>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</si>
  <si>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</si>
  <si>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</si>
  <si>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</si>
  <si>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</si>
  <si>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</si>
  <si>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</si>
  <si>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</si>
  <si>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</si>
  <si>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</si>
  <si>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</si>
  <si>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</si>
  <si>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</si>
  <si>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</si>
  <si>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</si>
  <si>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</si>
  <si>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</si>
  <si>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</si>
  <si>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</si>
  <si>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</si>
  <si>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</si>
  <si>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</si>
  <si>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</si>
  <si>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</si>
  <si>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</si>
  <si>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</si>
  <si>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</si>
  <si>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</si>
  <si>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</si>
  <si>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</si>
  <si>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</si>
  <si>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</si>
  <si>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</si>
  <si>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</si>
  <si>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</si>
  <si>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</si>
  <si>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</si>
  <si>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</si>
  <si>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</si>
  <si>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</si>
  <si>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</si>
  <si>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</si>
  <si>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</si>
  <si>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</si>
  <si>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</si>
  <si>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</si>
  <si>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</si>
  <si>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</si>
  <si>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</si>
  <si>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</si>
  <si>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</si>
  <si>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</si>
  <si>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</si>
  <si>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</si>
  <si>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</si>
  <si>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</si>
  <si>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</si>
  <si>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</si>
  <si>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</si>
  <si>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</si>
  <si>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</si>
  <si>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</si>
  <si>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</si>
  <si>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</si>
  <si>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</si>
  <si>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</si>
  <si>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</si>
  <si>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</si>
  <si>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</si>
  <si>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</si>
  <si>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</si>
  <si>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</si>
  <si>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</si>
  <si>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</si>
  <si>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</si>
  <si>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</si>
  <si>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</si>
  <si>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</si>
  <si>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</si>
  <si>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</si>
  <si>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</si>
  <si>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</si>
  <si>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</si>
  <si>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</si>
  <si>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</si>
  <si>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</si>
  <si>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</si>
  <si>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</si>
  <si>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</si>
  <si>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</si>
  <si>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</si>
  <si>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</si>
  <si>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</si>
  <si>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</si>
  <si>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</si>
  <si>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</si>
  <si>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</si>
  <si>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</si>
  <si>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</si>
  <si>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</si>
  <si>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</si>
  <si>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</si>
  <si>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</si>
  <si>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</si>
  <si>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</si>
  <si>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</si>
  <si>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</si>
  <si>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</si>
  <si>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</si>
  <si>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</si>
  <si>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</si>
  <si>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</si>
  <si>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</si>
  <si>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</si>
  <si>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</si>
  <si>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</si>
  <si>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</si>
  <si>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</si>
  <si>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</si>
  <si>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</si>
  <si>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</si>
  <si>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</si>
  <si>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</si>
  <si>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</si>
  <si>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</si>
  <si>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</si>
  <si>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</si>
  <si>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</si>
  <si>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</si>
  <si>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</si>
  <si>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</si>
  <si>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</si>
  <si>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</si>
  <si>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</si>
  <si>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</si>
  <si>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</si>
  <si>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</si>
  <si>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</si>
  <si>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</si>
  <si>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</si>
  <si>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</si>
  <si>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</si>
  <si>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</si>
  <si>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</si>
  <si>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</si>
  <si>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</si>
  <si>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</si>
  <si>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</si>
  <si>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</si>
  <si>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</si>
  <si>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</si>
  <si>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</si>
  <si>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</si>
  <si>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</si>
  <si>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</si>
  <si>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</si>
  <si>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</si>
  <si>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</si>
  <si>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</si>
  <si>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</si>
  <si>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</si>
  <si>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</si>
  <si>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</si>
  <si>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</si>
  <si>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</si>
  <si>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</si>
  <si>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</si>
  <si>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</si>
  <si>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</si>
  <si>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</si>
  <si>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</si>
  <si>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</si>
  <si>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</si>
  <si>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</si>
  <si>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</si>
  <si>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</si>
  <si>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</si>
  <si>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</si>
  <si>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</si>
  <si>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</si>
  <si>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</si>
  <si>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</si>
  <si>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</si>
  <si>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</si>
  <si>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</si>
  <si>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</si>
  <si>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</si>
  <si>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</si>
  <si>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</si>
  <si>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</si>
  <si>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</si>
  <si>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</si>
  <si>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</si>
  <si>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</si>
  <si>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</si>
  <si>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</si>
  <si>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</si>
  <si>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</si>
  <si>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</si>
  <si>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</si>
  <si>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</si>
  <si>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</si>
  <si>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</si>
  <si>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</si>
  <si>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</si>
  <si>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</si>
  <si>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</si>
  <si>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</si>
  <si>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</si>
  <si>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</si>
  <si>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</si>
  <si>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</si>
  <si>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</si>
  <si>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</si>
  <si>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</si>
  <si>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</si>
  <si>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</si>
  <si>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</si>
  <si>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</si>
  <si>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</si>
  <si>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</si>
  <si>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</si>
  <si>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</si>
  <si>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</si>
  <si>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</si>
  <si>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</si>
  <si>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</si>
  <si>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</si>
  <si>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</si>
  <si>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</si>
  <si>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</si>
  <si>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</si>
  <si>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</si>
  <si>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</si>
  <si>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</si>
  <si>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</si>
  <si>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</si>
  <si>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</si>
  <si>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</si>
  <si>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</si>
  <si>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</si>
  <si>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</si>
  <si>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</si>
  <si>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</si>
  <si>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</si>
  <si>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</si>
  <si>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</si>
  <si>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</si>
  <si>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</si>
  <si>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</si>
  <si>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</si>
  <si>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</si>
  <si>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</si>
  <si>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</si>
  <si>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</si>
  <si>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</si>
  <si>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</si>
  <si>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</si>
  <si>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</si>
  <si>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</si>
  <si>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</si>
  <si>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</si>
  <si>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</si>
  <si>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</si>
  <si>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</si>
  <si>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</si>
  <si>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</si>
  <si>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</si>
  <si>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</si>
  <si>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</si>
  <si>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</si>
  <si>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</si>
  <si>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</si>
  <si>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</si>
  <si>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</si>
  <si>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</si>
  <si>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</si>
  <si>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</si>
  <si>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</si>
  <si>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</si>
  <si>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</si>
  <si>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</si>
  <si>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</si>
  <si>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</si>
  <si>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</si>
  <si>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</si>
  <si>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</si>
  <si>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</si>
  <si>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</si>
  <si>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</si>
  <si>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</si>
  <si>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</si>
  <si>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</si>
  <si>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</si>
  <si>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</si>
  <si>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</si>
  <si>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</si>
  <si>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</si>
  <si>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</si>
  <si>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</si>
  <si>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</si>
  <si>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</si>
  <si>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</si>
  <si>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</si>
  <si>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</si>
  <si>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</si>
  <si>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</si>
  <si>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</si>
  <si>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</si>
  <si>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</si>
  <si>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</si>
  <si>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</si>
  <si>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</si>
  <si>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</si>
  <si>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</si>
  <si>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</si>
  <si>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</si>
  <si>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</si>
  <si>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</si>
  <si>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</si>
  <si>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</si>
  <si>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</si>
  <si>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</si>
  <si>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</si>
  <si>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</si>
  <si>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</si>
  <si>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</si>
  <si>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</si>
  <si>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</si>
  <si>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</si>
  <si>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</si>
  <si>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</si>
  <si>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</si>
  <si>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</si>
  <si>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</si>
  <si>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</si>
  <si>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</si>
  <si>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</si>
  <si>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</si>
  <si>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</si>
  <si>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</si>
  <si>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</si>
  <si>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</si>
  <si>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</si>
  <si>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</si>
  <si>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</si>
  <si>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</si>
  <si>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</si>
  <si>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</si>
  <si>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</si>
  <si>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</si>
  <si>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</si>
  <si>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</si>
  <si>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</si>
  <si>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</si>
  <si>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</si>
  <si>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</si>
  <si>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</si>
  <si>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</si>
  <si>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</si>
  <si>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</si>
  <si>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</si>
  <si>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</si>
  <si>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</si>
  <si>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</si>
  <si>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</si>
  <si>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</si>
  <si>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</si>
  <si>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</si>
  <si>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</si>
  <si>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</si>
  <si>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</si>
  <si>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</si>
  <si>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</si>
  <si>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</si>
  <si>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</si>
  <si>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</si>
  <si>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</si>
  <si>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</si>
  <si>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</si>
  <si>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</si>
  <si>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</si>
  <si>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</si>
  <si>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</si>
  <si>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</si>
  <si>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</si>
  <si>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</si>
  <si>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</si>
  <si>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</si>
  <si>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</si>
  <si>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</si>
  <si>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</si>
  <si>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</si>
  <si>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</si>
  <si>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</si>
  <si>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</si>
  <si>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</si>
  <si>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</si>
  <si>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</si>
  <si>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</si>
  <si>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</si>
  <si>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</si>
  <si>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</si>
  <si>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</si>
  <si>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</si>
  <si>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</si>
  <si>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</si>
  <si>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</si>
  <si>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</si>
  <si>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</si>
  <si>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</si>
  <si>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</si>
  <si>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</si>
  <si>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</si>
  <si>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</si>
  <si>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</si>
  <si>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</si>
  <si>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</si>
  <si>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</si>
  <si>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</si>
  <si>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</si>
  <si>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</si>
  <si>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</si>
  <si>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</si>
  <si>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</si>
  <si>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</si>
  <si>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</si>
  <si>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</si>
  <si>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</si>
  <si>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</si>
  <si>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</si>
  <si>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</si>
  <si>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</si>
  <si>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</si>
  <si>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</si>
  <si>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</si>
  <si>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</si>
  <si>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</si>
  <si>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</si>
  <si>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</si>
  <si>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</si>
  <si>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</si>
  <si>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</si>
  <si>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</si>
  <si>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</si>
  <si>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</si>
  <si>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</si>
  <si>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</si>
  <si>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</si>
  <si>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</si>
  <si>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</si>
  <si>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</si>
  <si>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</si>
  <si>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</si>
  <si>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</si>
  <si>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</si>
  <si>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</si>
  <si>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</si>
  <si>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</si>
  <si>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</si>
  <si>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</si>
  <si>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</si>
  <si>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</si>
  <si>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</si>
  <si>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</si>
  <si>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</si>
  <si>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</si>
  <si>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</si>
  <si>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</si>
  <si>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</si>
  <si>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</si>
  <si>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</si>
  <si>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</si>
  <si>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</si>
  <si>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</si>
  <si>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</si>
  <si>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</si>
  <si>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</si>
  <si>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</si>
  <si>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</si>
  <si>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</si>
  <si>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</si>
  <si>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</si>
  <si>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</si>
  <si>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</si>
  <si>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</si>
  <si>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</si>
  <si>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</si>
  <si>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</si>
  <si>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</si>
  <si>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</si>
  <si>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</si>
  <si>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</si>
  <si>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</si>
  <si>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</si>
  <si>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</si>
  <si>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</si>
  <si>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</si>
  <si>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</si>
  <si>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</si>
  <si>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</si>
  <si>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</si>
  <si>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</si>
  <si>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</si>
  <si>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</si>
  <si>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</si>
  <si>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</si>
  <si>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</si>
  <si>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</si>
  <si>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</si>
  <si>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</si>
  <si>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</si>
  <si>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</si>
  <si>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</si>
  <si>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</si>
  <si>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</si>
  <si>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</si>
  <si>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</si>
  <si>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</si>
  <si>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</si>
  <si>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</si>
  <si>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</si>
  <si>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</si>
  <si>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</si>
  <si>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</si>
  <si>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</si>
  <si>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</si>
  <si>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</si>
  <si>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</si>
  <si>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</si>
  <si>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</si>
  <si>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</si>
  <si>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</si>
  <si>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</si>
  <si>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</si>
  <si>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</si>
  <si>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</si>
  <si>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</si>
  <si>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</si>
  <si>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</si>
  <si>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</si>
  <si>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</si>
  <si>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</si>
  <si>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</si>
  <si>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</si>
  <si>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</si>
  <si>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</si>
  <si>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</si>
  <si>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</si>
  <si>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</si>
  <si>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</si>
  <si>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</si>
  <si>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</si>
  <si>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</si>
  <si>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</si>
  <si>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</si>
  <si>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</si>
  <si>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</si>
  <si>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</si>
  <si>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</si>
  <si>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</si>
  <si>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</si>
  <si>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</si>
  <si>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</si>
  <si>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</si>
  <si>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</si>
  <si>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</si>
  <si>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</si>
  <si>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</si>
  <si>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</si>
  <si>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</si>
  <si>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</si>
  <si>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</si>
  <si>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</si>
  <si>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</si>
  <si>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</si>
  <si>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</si>
  <si>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</si>
  <si>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</si>
  <si>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</si>
  <si>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</si>
  <si>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</si>
  <si>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</si>
  <si>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</si>
  <si>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</si>
  <si>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</si>
  <si>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</si>
  <si>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</si>
  <si>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</si>
  <si>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</si>
  <si>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</si>
  <si>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</si>
  <si>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</si>
  <si>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</si>
  <si>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</si>
  <si>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</si>
  <si>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</si>
  <si>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</si>
  <si>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</si>
  <si>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</si>
  <si>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</si>
  <si>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</si>
  <si>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</si>
  <si>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</si>
  <si>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</si>
  <si>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</si>
  <si>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</si>
  <si>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</si>
  <si>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</si>
  <si>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</si>
  <si>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</si>
  <si>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</si>
  <si>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</si>
  <si>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</si>
  <si>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</si>
  <si>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</si>
  <si>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</si>
  <si>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</si>
  <si>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</si>
  <si>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</si>
  <si>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</si>
  <si>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</si>
  <si>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</si>
  <si>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</si>
  <si>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</si>
  <si>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</si>
  <si>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</si>
  <si>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</si>
  <si>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</si>
  <si>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</si>
  <si>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</si>
  <si>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</si>
  <si>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</si>
  <si>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</si>
  <si>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</si>
  <si>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</si>
  <si>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</si>
  <si>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</si>
  <si>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</si>
  <si>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</si>
  <si>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</si>
  <si>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</si>
  <si>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</si>
  <si>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</si>
  <si>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</si>
  <si>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</si>
  <si>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</si>
  <si>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</si>
  <si>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</si>
  <si>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</si>
  <si>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</si>
  <si>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</si>
  <si>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</si>
  <si>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</si>
  <si>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</si>
  <si>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</si>
  <si>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</si>
  <si>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</si>
  <si>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</si>
  <si>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</si>
  <si>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</si>
  <si>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</si>
  <si>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</si>
  <si>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</si>
  <si>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</si>
  <si>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</si>
  <si>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</si>
  <si>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</si>
  <si>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</si>
  <si>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</si>
  <si>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</si>
  <si>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</si>
  <si>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</si>
  <si>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</si>
  <si>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</si>
  <si>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</si>
  <si>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</si>
  <si>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</si>
  <si>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</si>
  <si>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</si>
  <si>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</si>
  <si>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</si>
  <si>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</si>
  <si>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</si>
  <si>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</si>
  <si>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</si>
  <si>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</si>
  <si>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</si>
  <si>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</si>
  <si>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</si>
  <si>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</si>
  <si>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</si>
  <si>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</si>
  <si>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</si>
  <si>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</si>
  <si>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</si>
  <si>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</si>
  <si>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</si>
  <si>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</si>
  <si>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</si>
  <si>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</si>
  <si>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</si>
  <si>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</si>
  <si>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</si>
  <si>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</si>
  <si>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</si>
  <si>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</si>
  <si>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</si>
  <si>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</si>
  <si>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</si>
  <si>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</si>
  <si>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</si>
  <si>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</si>
  <si>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</si>
  <si>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</si>
  <si>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</si>
  <si>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</si>
  <si>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</si>
  <si>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</si>
  <si>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</si>
  <si>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</si>
  <si>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</si>
  <si>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</si>
  <si>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</si>
  <si>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</si>
  <si>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</si>
  <si>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</si>
  <si>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</si>
  <si>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</si>
  <si>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</si>
  <si>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</si>
  <si>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</si>
  <si>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</si>
  <si>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</si>
  <si>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</si>
  <si>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</si>
  <si>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</si>
  <si>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</si>
  <si>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</si>
  <si>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</si>
  <si>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</si>
  <si>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</si>
  <si>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</si>
  <si>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</si>
  <si>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</si>
  <si>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</si>
  <si>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</si>
  <si>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</si>
  <si>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</si>
  <si>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</si>
  <si>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</si>
  <si>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</si>
  <si>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</si>
  <si>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</si>
  <si>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</si>
  <si>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</si>
  <si>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</si>
  <si>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</si>
  <si>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</si>
  <si>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</si>
  <si>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</si>
  <si>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</si>
  <si>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</si>
  <si>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</si>
  <si>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</si>
  <si>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</si>
  <si>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</si>
  <si>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</si>
  <si>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</si>
  <si>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</si>
  <si>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</si>
  <si>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</si>
  <si>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</si>
  <si>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</si>
  <si>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</si>
  <si>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</si>
  <si>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</si>
  <si>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</si>
  <si>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</si>
  <si>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</si>
  <si>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</si>
  <si>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</si>
  <si>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</si>
  <si>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</si>
  <si>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</si>
  <si>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</si>
  <si>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</si>
  <si>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</si>
  <si>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</si>
  <si>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</si>
  <si>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</si>
  <si>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</si>
  <si>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</si>
  <si>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</si>
  <si>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</si>
  <si>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</si>
  <si>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</si>
  <si>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</si>
  <si>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</si>
  <si>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</si>
  <si>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</si>
  <si>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</si>
  <si>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</si>
  <si>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</si>
  <si>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</si>
  <si>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</si>
  <si>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</si>
  <si>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</si>
  <si>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</si>
  <si>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</si>
  <si>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</si>
  <si>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</si>
  <si>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</si>
  <si>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</si>
  <si>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</si>
  <si>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</si>
  <si>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</si>
  <si>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</si>
  <si>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</si>
  <si>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</si>
  <si>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</si>
  <si>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</si>
  <si>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</si>
  <si>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</si>
  <si>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</si>
  <si>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</si>
  <si>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</si>
  <si>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</si>
  <si>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</si>
  <si>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</si>
  <si>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</si>
  <si>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</si>
  <si>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</si>
  <si>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</si>
  <si>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</si>
  <si>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</si>
  <si>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</si>
  <si>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</si>
  <si>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</si>
  <si>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</si>
  <si>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</si>
  <si>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</si>
  <si>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</si>
  <si>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</si>
  <si>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</si>
  <si>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</si>
  <si>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</si>
  <si>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</si>
  <si>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</si>
  <si>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</si>
  <si>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</si>
  <si>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</si>
  <si>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</si>
  <si>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</si>
  <si>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</si>
  <si>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</si>
  <si>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</si>
  <si>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</si>
  <si>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</si>
  <si>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</si>
  <si>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</si>
  <si>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</si>
  <si>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</si>
  <si>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</si>
  <si>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</si>
  <si>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</si>
  <si>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</si>
  <si>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</si>
  <si>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</si>
  <si>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</si>
  <si>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</si>
  <si>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</si>
  <si>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</si>
  <si>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</si>
  <si>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</si>
  <si>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</si>
  <si>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</si>
  <si>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</si>
  <si>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</si>
  <si>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</si>
  <si>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</si>
  <si>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</si>
  <si>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</si>
  <si>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</si>
  <si>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</si>
  <si>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</si>
  <si>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</si>
  <si>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</si>
  <si>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</si>
  <si>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</si>
  <si>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</si>
  <si>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</si>
  <si>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</si>
  <si>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</si>
  <si>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</si>
  <si>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</si>
  <si>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</si>
  <si>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</si>
  <si>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</si>
  <si>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</si>
  <si>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</si>
  <si>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</si>
  <si>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</si>
  <si>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</si>
  <si>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</si>
  <si>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</si>
  <si>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</si>
  <si>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</si>
  <si>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</si>
  <si>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</si>
  <si>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</si>
  <si>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</si>
  <si>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</si>
  <si>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</si>
  <si>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</si>
  <si>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</si>
  <si>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</si>
  <si>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</si>
  <si>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</si>
  <si>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</si>
  <si>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</si>
  <si>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</si>
  <si>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</si>
  <si>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</si>
  <si>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</si>
  <si>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</si>
  <si>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</si>
  <si>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</si>
  <si>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</si>
  <si>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</si>
  <si>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</si>
  <si>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</si>
  <si>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</si>
  <si>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</si>
  <si>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</si>
  <si>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</si>
  <si>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</si>
  <si>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</si>
  <si>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</si>
  <si>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</si>
  <si>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</si>
  <si>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</si>
  <si>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</si>
  <si>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</si>
  <si>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</si>
  <si>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</si>
  <si>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</si>
  <si>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</si>
  <si>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</si>
  <si>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</si>
  <si>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</si>
  <si>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</si>
  <si>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</si>
  <si>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</si>
  <si>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</si>
  <si>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</si>
  <si>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</si>
  <si>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</si>
  <si>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</si>
  <si>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</si>
  <si>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</si>
  <si>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</si>
  <si>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</si>
  <si>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</si>
  <si>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</si>
  <si>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</si>
  <si>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</si>
  <si>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</si>
  <si>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</si>
  <si>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</si>
  <si>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</si>
  <si>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</si>
  <si>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</si>
  <si>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</si>
  <si>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</si>
  <si>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</si>
  <si>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</si>
  <si>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</si>
  <si>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</si>
  <si>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</si>
  <si>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</si>
  <si>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</si>
  <si>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</si>
  <si>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</si>
  <si>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</si>
  <si>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</si>
  <si>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</si>
  <si>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</si>
  <si>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</si>
  <si>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</si>
  <si>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</si>
  <si>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</si>
  <si>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</si>
  <si>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</si>
  <si>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</si>
  <si>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</si>
  <si>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</si>
  <si>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</si>
  <si>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</si>
  <si>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</si>
  <si>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</si>
  <si>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</si>
  <si>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</si>
  <si>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</si>
  <si>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</si>
  <si>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</si>
  <si>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</si>
  <si>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</si>
  <si>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</si>
  <si>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</si>
  <si>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</si>
  <si>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</si>
  <si>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</si>
  <si>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</si>
  <si>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</si>
  <si>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</si>
  <si>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</si>
  <si>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</si>
  <si>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</si>
  <si>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</si>
  <si>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</si>
  <si>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</si>
  <si>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</si>
  <si>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</si>
  <si>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</si>
  <si>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</si>
  <si>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</si>
  <si>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</si>
  <si>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</si>
  <si>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</si>
  <si>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</si>
  <si>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</si>
  <si>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</si>
  <si>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</si>
  <si>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</si>
  <si>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</si>
  <si>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</si>
  <si>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</si>
  <si>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</si>
  <si>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</si>
  <si>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</si>
  <si>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</si>
  <si>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</si>
  <si>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</si>
  <si>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</si>
  <si>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</si>
  <si>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</si>
  <si>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</si>
  <si>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</si>
  <si>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</si>
  <si>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</si>
  <si>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</si>
  <si>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</si>
  <si>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</si>
  <si>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</si>
  <si>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</si>
  <si>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</si>
  <si>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</si>
  <si>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</si>
  <si>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</si>
  <si>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</si>
  <si>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</si>
  <si>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</si>
  <si>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</si>
  <si>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</si>
  <si>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</si>
  <si>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</si>
  <si>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</si>
  <si>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</si>
  <si>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</si>
  <si>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</si>
  <si>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</si>
  <si>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</si>
  <si>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</si>
  <si>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</si>
  <si>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</si>
  <si>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</si>
  <si>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</si>
  <si>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</si>
  <si>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</si>
  <si>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</si>
  <si>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</si>
  <si>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</si>
  <si>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</si>
  <si>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</si>
  <si>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</si>
  <si>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</si>
  <si>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</si>
  <si>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</si>
  <si>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</si>
  <si>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</si>
  <si>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</si>
  <si>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</si>
  <si>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</si>
  <si>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</si>
  <si>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</si>
  <si>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</si>
  <si>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</si>
  <si>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</si>
  <si>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</si>
  <si>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</si>
  <si>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</si>
  <si>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</si>
  <si>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</si>
  <si>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</si>
  <si>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</si>
  <si>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</si>
  <si>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</si>
  <si>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</si>
  <si>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</si>
  <si>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</si>
  <si>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</si>
  <si>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</si>
  <si>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</si>
  <si>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</si>
  <si>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</si>
  <si>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</si>
  <si>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</si>
  <si>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</si>
  <si>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</si>
  <si>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</si>
  <si>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</si>
  <si>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</si>
  <si>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</si>
  <si>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</si>
  <si>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</si>
  <si>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</si>
  <si>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</si>
  <si>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</si>
  <si>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</si>
  <si>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</si>
  <si>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</si>
  <si>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</si>
  <si>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</si>
  <si>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</si>
  <si>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</si>
  <si>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</si>
  <si>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</si>
  <si>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</si>
  <si>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</si>
  <si>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</si>
  <si>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</si>
  <si>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</si>
  <si>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</si>
  <si>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</si>
  <si>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</si>
  <si>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</si>
  <si>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</si>
  <si>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</si>
  <si>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</si>
  <si>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</si>
  <si>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</si>
  <si>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</si>
  <si>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</si>
  <si>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</si>
  <si>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</si>
  <si>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</si>
  <si>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</si>
  <si>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</si>
  <si>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</si>
  <si>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</si>
  <si>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</si>
  <si>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</si>
  <si>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</si>
  <si>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</si>
  <si>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</si>
  <si>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</si>
  <si>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</si>
  <si>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</si>
  <si>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</si>
  <si>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</si>
  <si>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</si>
  <si>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</si>
  <si>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</si>
  <si>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</si>
  <si>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</si>
  <si>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</si>
  <si>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</si>
  <si>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</si>
  <si>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</si>
  <si>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</si>
  <si>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</si>
  <si>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</si>
  <si>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</si>
  <si>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</si>
  <si>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</si>
  <si>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</si>
  <si>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</si>
  <si>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</si>
  <si>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</si>
  <si>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</si>
  <si>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</si>
  <si>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</si>
  <si>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</si>
  <si>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</si>
  <si>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</si>
  <si>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</si>
  <si>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</si>
  <si>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</si>
  <si>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</si>
  <si>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</si>
  <si>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</si>
  <si>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</si>
  <si>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</si>
  <si>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</si>
  <si>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</si>
  <si>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</si>
  <si>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</si>
  <si>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</si>
  <si>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</si>
  <si>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</si>
  <si>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</si>
  <si>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</si>
  <si>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</si>
  <si>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</si>
  <si>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</si>
  <si>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</si>
  <si>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</si>
  <si>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</si>
  <si>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</si>
  <si>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</si>
  <si>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</si>
  <si>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</si>
  <si>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</si>
  <si>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</si>
  <si>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</si>
  <si>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</si>
  <si>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</si>
  <si>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</si>
  <si>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</si>
  <si>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</si>
  <si>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</si>
  <si>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</si>
  <si>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</si>
  <si>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</si>
  <si>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</si>
  <si>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</si>
  <si>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</si>
  <si>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</si>
  <si>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</si>
  <si>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</si>
  <si>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</si>
  <si>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</si>
  <si>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</si>
  <si>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</si>
  <si>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</si>
  <si>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</si>
  <si>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</si>
  <si>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</si>
  <si>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</si>
  <si>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</si>
  <si>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</si>
  <si>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</si>
  <si>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</si>
  <si>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</si>
  <si>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</si>
  <si>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</si>
  <si>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</si>
  <si>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</si>
  <si>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</si>
  <si>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</si>
  <si>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</si>
  <si>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</si>
  <si>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</si>
  <si>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</si>
  <si>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</si>
  <si>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</si>
  <si>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</si>
  <si>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</si>
  <si>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</si>
  <si>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</si>
  <si>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</si>
  <si>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</si>
  <si>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</si>
  <si>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</si>
  <si>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</si>
  <si>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</si>
  <si>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</si>
  <si>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</si>
  <si>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</si>
  <si>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</si>
  <si>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</si>
  <si>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</si>
  <si>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</si>
  <si>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</si>
  <si>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</si>
  <si>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</si>
  <si>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</si>
  <si>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</si>
  <si>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</si>
  <si>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</si>
  <si>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</si>
  <si>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</si>
  <si>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</si>
  <si>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</si>
  <si>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</si>
  <si>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</si>
  <si>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</si>
  <si>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</si>
  <si>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</si>
  <si>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</si>
  <si>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</si>
  <si>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</si>
  <si>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</si>
  <si>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</si>
  <si>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</si>
  <si>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</si>
  <si>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</si>
  <si>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</si>
  <si>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</si>
  <si>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</si>
  <si>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</si>
  <si>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</si>
  <si>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</si>
  <si>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</si>
  <si>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</si>
  <si>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</si>
  <si>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</si>
  <si>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</si>
  <si>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</si>
  <si>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</si>
  <si>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</si>
  <si>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</si>
  <si>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</si>
  <si>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</si>
  <si>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</si>
  <si>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</si>
  <si>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</si>
  <si>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</si>
  <si>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</si>
  <si>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</si>
  <si>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</si>
  <si>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</si>
  <si>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</si>
  <si>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</si>
  <si>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</si>
  <si>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</si>
  <si>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</si>
  <si>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</si>
  <si>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</si>
  <si>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</si>
  <si>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</si>
  <si>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</si>
  <si>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</si>
  <si>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</si>
  <si>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</si>
  <si>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</si>
  <si>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</si>
  <si>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</si>
  <si>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</si>
  <si>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</si>
  <si>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</si>
  <si>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</si>
  <si>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</si>
  <si>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</si>
  <si>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</si>
  <si>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</si>
  <si>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</si>
  <si>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</si>
  <si>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</si>
  <si>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</si>
  <si>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</si>
  <si>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</si>
  <si>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</si>
  <si>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</si>
  <si>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</si>
  <si>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</si>
  <si>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</si>
  <si>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</si>
  <si>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</si>
  <si>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</si>
  <si>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</si>
  <si>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</si>
  <si>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</si>
  <si>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</si>
  <si>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</si>
  <si>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</si>
  <si>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</si>
  <si>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</si>
  <si>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</si>
  <si>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</si>
  <si>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</si>
  <si>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</si>
  <si>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</si>
  <si>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</si>
  <si>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</si>
  <si>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</si>
  <si>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</si>
  <si>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</si>
  <si>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</si>
  <si>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</si>
  <si>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</si>
  <si>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</si>
  <si>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</si>
  <si>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</si>
  <si>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</si>
  <si>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</si>
  <si>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</si>
  <si>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</si>
  <si>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</si>
  <si>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</si>
  <si>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</si>
  <si>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</si>
  <si>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</si>
  <si>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</si>
  <si>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</si>
  <si>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</si>
  <si>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</si>
  <si>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</si>
  <si>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</si>
  <si>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</si>
  <si>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</si>
  <si>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</si>
  <si>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</si>
  <si>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</si>
  <si>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</si>
  <si>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</si>
  <si>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</si>
  <si>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</si>
  <si>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</si>
  <si>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</si>
  <si>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</si>
  <si>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</si>
  <si>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</si>
  <si>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</si>
  <si>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</si>
  <si>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</si>
  <si>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</si>
  <si>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</si>
  <si>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</si>
  <si>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</si>
  <si>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</si>
  <si>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</si>
  <si>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</si>
  <si>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</si>
  <si>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</si>
  <si>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</si>
  <si>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</si>
  <si>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</si>
  <si>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</si>
  <si>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</si>
  <si>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</si>
  <si>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</si>
  <si>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</si>
  <si>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</si>
  <si>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</si>
  <si>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</si>
  <si>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</si>
  <si>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</si>
  <si>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</si>
  <si>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</si>
  <si>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</si>
  <si>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</si>
  <si>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</si>
  <si>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</si>
  <si>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</si>
  <si>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</si>
  <si>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</si>
  <si>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</si>
  <si>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</si>
  <si>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</si>
  <si>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</si>
  <si>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</si>
  <si>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</si>
  <si>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</si>
  <si>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</si>
  <si>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</si>
  <si>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</si>
  <si>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</si>
  <si>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</si>
  <si>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</si>
  <si>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</si>
  <si>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</si>
  <si>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</si>
  <si>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</si>
  <si>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</si>
  <si>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</si>
  <si>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</si>
  <si>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</si>
  <si>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</si>
  <si>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</si>
  <si>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</si>
  <si>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</si>
  <si>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</si>
  <si>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</si>
  <si>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</si>
  <si>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</si>
  <si>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</si>
  <si>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</si>
  <si>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</si>
  <si>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</si>
  <si>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</si>
  <si>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</si>
  <si>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</si>
  <si>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</si>
  <si>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</si>
  <si>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</si>
  <si>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</si>
  <si>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</si>
  <si>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</si>
  <si>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</si>
  <si>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</si>
  <si>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</si>
  <si>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</si>
  <si>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</si>
  <si>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</si>
  <si>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</si>
  <si>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</si>
  <si>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</si>
  <si>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</si>
  <si>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</si>
  <si>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</si>
  <si>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</si>
  <si>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</si>
  <si>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</si>
  <si>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</si>
  <si>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</si>
  <si>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</si>
  <si>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</si>
  <si>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</si>
  <si>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</si>
  <si>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</si>
  <si>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</si>
  <si>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</si>
  <si>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</si>
  <si>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</si>
  <si>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</si>
  <si>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</si>
  <si>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</si>
  <si>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</si>
  <si>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</si>
  <si>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</si>
  <si>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</si>
  <si>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</si>
  <si>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</si>
  <si>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</si>
  <si>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</si>
  <si>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</si>
  <si>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</si>
  <si>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</si>
  <si>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</si>
  <si>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</si>
  <si>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</si>
  <si>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</si>
  <si>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</si>
  <si>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</si>
  <si>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</si>
  <si>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</si>
  <si>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</si>
  <si>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</si>
  <si>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</si>
  <si>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</si>
  <si>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</si>
  <si>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</si>
  <si>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</si>
  <si>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</si>
  <si>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</si>
  <si>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</si>
  <si>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</si>
  <si>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</si>
  <si>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</si>
  <si>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</si>
  <si>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</si>
  <si>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</si>
  <si>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</si>
  <si>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</si>
  <si>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</si>
  <si>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</si>
  <si>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</si>
  <si>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</si>
  <si>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</si>
  <si>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</si>
  <si>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</si>
  <si>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</si>
  <si>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</si>
  <si>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</si>
  <si>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</si>
  <si>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</si>
  <si>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</si>
  <si>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</si>
  <si>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</si>
  <si>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</si>
  <si>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</si>
  <si>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</si>
  <si>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</si>
  <si>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</si>
  <si>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</si>
  <si>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</si>
  <si>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</si>
  <si>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</si>
  <si>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</si>
  <si>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</si>
  <si>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</si>
  <si>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</si>
  <si>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</si>
  <si>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</si>
  <si>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</si>
  <si>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</si>
  <si>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</si>
  <si>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</si>
  <si>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</si>
  <si>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</si>
  <si>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</si>
  <si>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</si>
  <si>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</si>
  <si>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</si>
  <si>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</si>
  <si>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</si>
  <si>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</si>
  <si>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</si>
  <si>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</si>
  <si>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</si>
  <si>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</si>
  <si>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</si>
  <si>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</si>
  <si>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</si>
  <si>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</si>
  <si>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</si>
  <si>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</si>
  <si>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</si>
  <si>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</si>
  <si>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</si>
  <si>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</si>
  <si>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</si>
  <si>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</si>
  <si>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</si>
  <si>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</si>
  <si>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</si>
  <si>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</si>
  <si>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</si>
  <si>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</si>
  <si>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</si>
  <si>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</si>
  <si>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</si>
  <si>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</si>
  <si>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</si>
  <si>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</si>
  <si>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</si>
  <si>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</si>
  <si>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</si>
  <si>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</si>
  <si>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</si>
  <si>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</si>
  <si>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</si>
  <si>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</si>
  <si>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</si>
  <si>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</si>
  <si>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</si>
  <si>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</si>
  <si>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</si>
  <si>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</si>
  <si>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</si>
  <si>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</si>
  <si>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</si>
  <si>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</si>
  <si>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</si>
  <si>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</si>
  <si>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</si>
  <si>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</si>
  <si>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</si>
  <si>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</si>
  <si>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</si>
  <si>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</si>
  <si>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</si>
  <si>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</si>
  <si>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</si>
  <si>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</si>
  <si>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</si>
  <si>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</si>
  <si>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</si>
  <si>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</si>
  <si>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</si>
  <si>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</si>
  <si>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</si>
  <si>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</si>
  <si>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</si>
  <si>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</si>
  <si>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</si>
  <si>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</si>
  <si>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</si>
  <si>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</si>
  <si>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</si>
  <si>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</si>
  <si>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</si>
  <si>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</si>
  <si>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</si>
  <si>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</si>
  <si>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</si>
  <si>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</si>
  <si>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</si>
  <si>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</si>
  <si>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</si>
  <si>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</si>
  <si>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</si>
  <si>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</si>
  <si>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</si>
  <si>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</si>
  <si>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</si>
  <si>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</si>
  <si>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</si>
  <si>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</si>
  <si>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</si>
  <si>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</si>
  <si>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</si>
  <si>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</si>
  <si>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</si>
  <si>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</si>
  <si>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</si>
  <si>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</si>
  <si>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</si>
  <si>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</si>
  <si>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</si>
  <si>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</si>
  <si>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</si>
  <si>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</si>
  <si>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</si>
  <si>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</si>
  <si>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</si>
  <si>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</si>
  <si>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</si>
  <si>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</si>
  <si>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</si>
  <si>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</si>
  <si>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</si>
  <si>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</si>
  <si>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</si>
  <si>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</si>
  <si>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</si>
  <si>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</si>
  <si>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</si>
  <si>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</si>
  <si>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</si>
  <si>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</si>
  <si>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</si>
  <si>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</si>
  <si>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</si>
  <si>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</si>
  <si>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</si>
  <si>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</si>
  <si>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</si>
  <si>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</si>
  <si>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</si>
  <si>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</si>
  <si>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</si>
  <si>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</si>
  <si>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</si>
  <si>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</si>
  <si>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</si>
  <si>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</si>
  <si>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</si>
  <si>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</si>
  <si>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</si>
  <si>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</si>
  <si>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</si>
  <si>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</si>
  <si>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</si>
  <si>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</si>
  <si>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</si>
  <si>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</si>
  <si>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</si>
  <si>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</si>
  <si>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</si>
  <si>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</si>
  <si>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</si>
  <si>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</si>
  <si>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</si>
  <si>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</si>
  <si>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</si>
  <si>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</si>
  <si>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</si>
  <si>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</si>
  <si>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</si>
  <si>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</si>
  <si>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</si>
  <si>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</si>
  <si>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</si>
  <si>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</si>
  <si>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</si>
  <si>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</si>
  <si>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</si>
  <si>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</si>
  <si>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</si>
  <si>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</si>
  <si>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</si>
  <si>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</si>
  <si>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</si>
  <si>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</si>
  <si>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</si>
  <si>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</si>
  <si>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</si>
  <si>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</si>
  <si>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</si>
  <si>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</si>
  <si>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</si>
  <si>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</si>
  <si>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</si>
  <si>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</si>
  <si>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</si>
  <si>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</si>
  <si>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</si>
  <si>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</si>
  <si>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</si>
  <si>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</si>
  <si>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</si>
  <si>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</si>
  <si>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</si>
  <si>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</si>
  <si>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</si>
  <si>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</si>
  <si>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</si>
  <si>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</si>
  <si>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</si>
  <si>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</si>
  <si>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</si>
  <si>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</si>
  <si>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</si>
  <si>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</si>
  <si>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</si>
  <si>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</si>
  <si>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</si>
  <si>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</si>
  <si>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</si>
  <si>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</si>
  <si>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</si>
  <si>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</si>
  <si>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</si>
  <si>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</si>
  <si>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</si>
  <si>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</si>
  <si>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</si>
  <si>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</si>
  <si>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</si>
  <si>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</si>
  <si>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</si>
  <si>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</si>
  <si>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</si>
  <si>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</si>
  <si>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</si>
  <si>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</si>
  <si>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</si>
  <si>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</si>
  <si>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</si>
  <si>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</si>
  <si>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</si>
  <si>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</si>
  <si>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</si>
  <si>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</si>
  <si>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</si>
  <si>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</si>
  <si>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</si>
  <si>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</si>
  <si>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</si>
  <si>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</si>
  <si>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</si>
  <si>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</si>
  <si>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</si>
  <si>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</si>
  <si>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</si>
  <si>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</si>
  <si>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</si>
  <si>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</si>
  <si>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</si>
  <si>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</si>
  <si>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</si>
  <si>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</si>
  <si>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</si>
  <si>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</si>
  <si>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</si>
  <si>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</si>
  <si>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</si>
  <si>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</si>
  <si>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</si>
  <si>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</si>
  <si>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</si>
  <si>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</si>
  <si>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</si>
  <si>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</si>
  <si>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</si>
  <si>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</si>
  <si>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</si>
  <si>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</si>
  <si>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</si>
  <si>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</si>
  <si>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</si>
  <si>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</si>
  <si>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</si>
  <si>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</si>
  <si>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</si>
  <si>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</si>
  <si>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</si>
  <si>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</si>
  <si>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</si>
  <si>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</si>
  <si>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</si>
  <si>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</si>
  <si>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</si>
  <si>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</si>
  <si>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</si>
  <si>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</si>
  <si>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</si>
  <si>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</si>
  <si>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</si>
  <si>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</si>
  <si>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</si>
  <si>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</si>
  <si>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</si>
  <si>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</si>
  <si>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</si>
  <si>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</si>
  <si>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</si>
  <si>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</si>
  <si>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</si>
  <si>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</si>
  <si>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</si>
  <si>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</si>
  <si>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</si>
  <si>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</si>
  <si>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</si>
  <si>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</si>
  <si>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</si>
  <si>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</si>
  <si>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</si>
  <si>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</si>
  <si>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</si>
  <si>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</si>
  <si>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</si>
  <si>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</si>
  <si>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</si>
  <si>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</si>
  <si>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</si>
  <si>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</si>
  <si>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</si>
  <si>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</si>
  <si>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</si>
  <si>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</si>
  <si>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</si>
  <si>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</si>
  <si>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</si>
  <si>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</si>
  <si>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</si>
  <si>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</si>
  <si>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</si>
  <si>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</si>
  <si>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</si>
  <si>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</si>
  <si>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</si>
  <si>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</si>
  <si>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</si>
  <si>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</si>
  <si>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</si>
  <si>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</si>
  <si>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</si>
  <si>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</si>
  <si>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</si>
  <si>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</si>
  <si>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</si>
  <si>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</si>
  <si>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</si>
  <si>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</si>
  <si>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</si>
  <si>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</si>
  <si>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</si>
  <si>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</si>
  <si>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</si>
  <si>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</si>
  <si>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</si>
  <si>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</si>
  <si>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</si>
  <si>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</si>
  <si>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</si>
  <si>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</si>
  <si>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</si>
  <si>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</si>
  <si>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</si>
  <si>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</si>
  <si>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</si>
  <si>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</si>
  <si>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</si>
  <si>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</si>
  <si>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</si>
  <si>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</si>
  <si>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</si>
  <si>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</si>
  <si>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</si>
  <si>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</si>
  <si>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</si>
  <si>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</si>
  <si>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</si>
  <si>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</si>
  <si>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</si>
  <si>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</si>
  <si>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</si>
  <si>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</si>
  <si>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</si>
  <si>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</si>
  <si>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</si>
  <si>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</si>
  <si>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</si>
  <si>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</si>
  <si>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</si>
  <si>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</si>
  <si>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</si>
  <si>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</si>
  <si>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</si>
  <si>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</si>
  <si>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</si>
  <si>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</si>
  <si>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</si>
  <si>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</si>
  <si>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</si>
  <si>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</si>
  <si>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</si>
  <si>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</si>
  <si>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</si>
  <si>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</si>
  <si>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</si>
  <si>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</si>
  <si>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</si>
  <si>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</si>
  <si>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</si>
  <si>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</si>
  <si>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</si>
  <si>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</si>
  <si>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</si>
  <si>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</si>
  <si>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</si>
  <si>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</si>
  <si>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</si>
  <si>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</si>
  <si>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</si>
  <si>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</si>
  <si>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</si>
  <si>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</si>
  <si>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</si>
  <si>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</si>
  <si>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</si>
  <si>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</si>
  <si>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</si>
  <si>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</si>
  <si>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</si>
  <si>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</si>
  <si>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</si>
  <si>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</si>
  <si>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</si>
  <si>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</si>
  <si>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</si>
  <si>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</si>
  <si>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</si>
  <si>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</si>
  <si>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</si>
  <si>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</si>
  <si>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</si>
  <si>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</si>
  <si>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</si>
  <si>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</si>
  <si>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</si>
  <si>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</si>
  <si>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</si>
  <si>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</si>
  <si>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</si>
  <si>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</si>
  <si>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</si>
  <si>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</si>
  <si>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</si>
  <si>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</si>
  <si>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</si>
  <si>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</si>
  <si>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</si>
  <si>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</si>
  <si>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</si>
  <si>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</si>
  <si>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</si>
  <si>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</si>
  <si>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</si>
  <si>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</si>
  <si>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</si>
  <si>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</si>
  <si>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</si>
  <si>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</si>
  <si>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</si>
  <si>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</si>
  <si>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</si>
  <si>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</si>
  <si>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</si>
  <si>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</si>
  <si>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</si>
  <si>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</si>
  <si>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</si>
  <si>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</si>
  <si>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</si>
  <si>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</si>
  <si>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</si>
  <si>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</si>
  <si>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</si>
  <si>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</si>
  <si>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</si>
  <si>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</si>
  <si>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</si>
  <si>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</si>
  <si>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</si>
  <si>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</si>
  <si>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</si>
  <si>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</si>
  <si>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</si>
  <si>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</si>
  <si>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</si>
  <si>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</si>
  <si>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</si>
  <si>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</si>
  <si>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</si>
  <si>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</si>
  <si>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</si>
  <si>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</si>
  <si>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</si>
  <si>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</si>
  <si>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</si>
  <si>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</si>
  <si>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</si>
  <si>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</si>
  <si>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</si>
  <si>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</si>
  <si>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</si>
  <si>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</si>
  <si>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</si>
  <si>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</si>
  <si>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</si>
  <si>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</si>
  <si>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</si>
  <si>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</si>
  <si>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</si>
  <si>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</si>
  <si>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</si>
  <si>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</si>
  <si>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</si>
  <si>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</si>
  <si>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</si>
  <si>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</si>
  <si>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</si>
  <si>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</si>
  <si>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</si>
  <si>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</si>
  <si>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</si>
  <si>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</si>
  <si>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</si>
  <si>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</si>
  <si>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</si>
  <si>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</si>
  <si>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</si>
  <si>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</si>
  <si>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</si>
  <si>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</si>
  <si>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</si>
  <si>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</si>
  <si>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</si>
  <si>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</si>
  <si>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</si>
  <si>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</si>
  <si>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</si>
  <si>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</si>
  <si>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</si>
  <si>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</si>
  <si>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</si>
  <si>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</si>
  <si>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</si>
  <si>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</si>
  <si>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</si>
  <si>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</si>
  <si>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</si>
  <si>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</si>
  <si>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</si>
  <si>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</si>
  <si>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</si>
  <si>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</si>
  <si>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</si>
  <si>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</si>
  <si>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</si>
  <si>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</si>
  <si>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</si>
  <si>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</si>
  <si>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</si>
  <si>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</si>
  <si>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</si>
  <si>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</si>
  <si>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</si>
  <si>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</si>
  <si>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</si>
  <si>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</si>
  <si>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</si>
  <si>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</si>
  <si>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</si>
  <si>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</si>
  <si>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</si>
  <si>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</si>
  <si>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</si>
  <si>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</si>
  <si>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</si>
  <si>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</si>
  <si>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</si>
  <si>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</si>
  <si>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</si>
  <si>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</si>
  <si>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</si>
  <si>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</si>
  <si>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</si>
  <si>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</si>
  <si>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</si>
  <si>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</si>
  <si>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</si>
  <si>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</si>
  <si>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</si>
  <si>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</si>
  <si>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</si>
  <si>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</si>
  <si>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</si>
  <si>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</si>
  <si>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</si>
  <si>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</si>
  <si>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</si>
  <si>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</si>
  <si>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</si>
  <si>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</si>
  <si>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</si>
  <si>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</si>
  <si>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</si>
  <si>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</si>
  <si>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</si>
  <si>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</si>
  <si>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</si>
  <si>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</si>
  <si>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</si>
  <si>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</si>
  <si>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</si>
  <si>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</si>
  <si>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</si>
  <si>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</si>
  <si>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</si>
  <si>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</si>
  <si>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</si>
  <si>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</si>
  <si>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</si>
  <si>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</si>
  <si>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</si>
  <si>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</si>
  <si>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</si>
  <si>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</si>
  <si>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</si>
  <si>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</si>
  <si>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</si>
  <si>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</si>
  <si>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</si>
  <si>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</si>
  <si>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</si>
  <si>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</si>
  <si>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</si>
  <si>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</si>
  <si>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</si>
  <si>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</si>
  <si>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</si>
  <si>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</si>
  <si>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</si>
  <si>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</si>
  <si>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</si>
  <si>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</si>
  <si>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</si>
  <si>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</si>
  <si>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</si>
  <si>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</si>
  <si>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</si>
  <si>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</si>
  <si>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</si>
  <si>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</si>
  <si>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</si>
  <si>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</si>
  <si>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</si>
  <si>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</si>
  <si>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</si>
  <si>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</si>
  <si>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</si>
  <si>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</si>
  <si>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</si>
  <si>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</si>
  <si>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</si>
  <si>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</si>
  <si>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</si>
  <si>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</si>
  <si>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</si>
  <si>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</si>
  <si>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</si>
  <si>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</si>
  <si>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</si>
  <si>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</si>
  <si>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</si>
  <si>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</si>
  <si>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</si>
  <si>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</si>
  <si>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</si>
  <si>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</si>
  <si>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</si>
  <si>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</si>
  <si>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</si>
  <si>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</si>
  <si>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</si>
  <si>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</si>
  <si>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</si>
  <si>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</si>
  <si>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</si>
  <si>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</si>
  <si>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</si>
  <si>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</si>
  <si>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</si>
  <si>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</si>
  <si>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</si>
  <si>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</si>
  <si>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</si>
  <si>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</si>
  <si>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</si>
  <si>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</si>
  <si>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</si>
  <si>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</si>
  <si>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</si>
  <si>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</si>
  <si>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</si>
  <si>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</si>
  <si>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</si>
  <si>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</si>
  <si>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</si>
  <si>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</si>
  <si>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</si>
  <si>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</si>
  <si>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</si>
  <si>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</si>
  <si>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</si>
  <si>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</si>
  <si>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</si>
  <si>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</si>
  <si>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</si>
  <si>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</si>
  <si>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</si>
  <si>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</si>
  <si>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</si>
  <si>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</si>
  <si>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</si>
  <si>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</si>
  <si>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</si>
  <si>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</si>
  <si>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</si>
  <si>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</si>
  <si>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</si>
  <si>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</si>
  <si>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</si>
  <si>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</si>
  <si>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</si>
  <si>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</si>
  <si>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</si>
  <si>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</si>
  <si>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</si>
  <si>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</si>
  <si>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</si>
  <si>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</si>
  <si>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</si>
  <si>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</si>
  <si>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</si>
  <si>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</si>
  <si>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</si>
  <si>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</si>
  <si>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</si>
  <si>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</si>
  <si>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</si>
  <si>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</si>
  <si>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</si>
  <si>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</si>
  <si>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</si>
  <si>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</si>
  <si>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</si>
  <si>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</si>
  <si>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</si>
  <si>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</si>
  <si>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</si>
  <si>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</si>
  <si>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</si>
  <si>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</si>
  <si>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</si>
  <si>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</si>
  <si>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</si>
  <si>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</si>
  <si>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</si>
  <si>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</si>
  <si>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</si>
  <si>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</si>
  <si>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</si>
  <si>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</si>
  <si>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</si>
  <si>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</si>
  <si>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</si>
  <si>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</si>
  <si>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</si>
  <si>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</si>
  <si>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</si>
  <si>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</si>
  <si>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</si>
  <si>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</si>
  <si>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</si>
  <si>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</si>
  <si>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</si>
  <si>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</si>
  <si>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</si>
  <si>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</si>
  <si>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</si>
  <si>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</si>
  <si>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</si>
  <si>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</si>
  <si>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</si>
  <si>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</si>
  <si>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</si>
  <si>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</si>
  <si>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</si>
  <si>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</si>
  <si>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</si>
  <si>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</si>
  <si>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</si>
  <si>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</si>
  <si>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</si>
  <si>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</si>
  <si>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</si>
  <si>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</si>
  <si>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</si>
  <si>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</si>
  <si>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</si>
  <si>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</si>
  <si>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</si>
  <si>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</si>
  <si>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</si>
  <si>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</si>
  <si>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</si>
  <si>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</si>
  <si>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</si>
  <si>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</si>
  <si>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</si>
  <si>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</si>
  <si>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</si>
  <si>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</si>
  <si>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</si>
  <si>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</si>
  <si>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</si>
  <si>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</si>
  <si>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</si>
  <si>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</si>
  <si>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</si>
  <si>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</si>
  <si>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</si>
  <si>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</si>
  <si>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</si>
  <si>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</si>
  <si>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</si>
  <si>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</si>
  <si>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</si>
  <si>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</si>
  <si>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</si>
  <si>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</si>
  <si>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</si>
  <si>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</si>
  <si>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</si>
  <si>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</si>
  <si>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</si>
  <si>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</si>
  <si>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</si>
  <si>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</si>
  <si>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</si>
  <si>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</si>
  <si>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</si>
  <si>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</si>
  <si>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</si>
  <si>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</si>
  <si>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</si>
  <si>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</si>
  <si>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</si>
  <si>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</si>
  <si>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</si>
  <si>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</si>
  <si>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</si>
  <si>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</si>
  <si>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</si>
  <si>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</si>
  <si>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</si>
  <si>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</si>
  <si>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</si>
  <si>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</si>
  <si>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</si>
  <si>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</si>
  <si>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</si>
  <si>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</si>
  <si>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</si>
  <si>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</si>
  <si>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</si>
  <si>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</si>
  <si>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</si>
  <si>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</si>
  <si>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</si>
  <si>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</si>
  <si>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</si>
  <si>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</si>
  <si>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</si>
  <si>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</si>
  <si>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</si>
  <si>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</si>
  <si>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</si>
  <si>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</si>
  <si>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</si>
  <si>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</si>
  <si>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</si>
  <si>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</si>
  <si>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</si>
  <si>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</si>
  <si>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</si>
  <si>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</si>
  <si>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</si>
  <si>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</si>
  <si>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</si>
  <si>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</si>
  <si>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</si>
  <si>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</si>
  <si>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</si>
  <si>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</si>
  <si>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</si>
  <si>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</si>
  <si>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</si>
  <si>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</si>
  <si>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</si>
  <si>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</si>
  <si>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</si>
  <si>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</si>
  <si>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</si>
  <si>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</si>
  <si>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</si>
  <si>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</si>
  <si>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</si>
  <si>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</si>
  <si>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</si>
  <si>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</si>
  <si>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</si>
  <si>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</si>
  <si>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</si>
  <si>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</si>
  <si>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</si>
  <si>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</si>
  <si>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</si>
  <si>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</si>
  <si>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</si>
  <si>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</si>
  <si>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</si>
  <si>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</si>
  <si>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</si>
  <si>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</si>
  <si>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</si>
  <si>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</si>
  <si>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</si>
  <si>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</si>
  <si>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</si>
  <si>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</si>
  <si>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</si>
  <si>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</si>
  <si>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</si>
  <si>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</si>
  <si>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</si>
  <si>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</si>
  <si>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</si>
  <si>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</si>
  <si>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</si>
  <si>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</si>
  <si>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</si>
  <si>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</si>
  <si>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</si>
  <si>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</si>
  <si>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</si>
  <si>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</si>
  <si>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</si>
  <si>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</si>
  <si>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</si>
  <si>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</si>
  <si>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</si>
  <si>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</si>
  <si>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</si>
  <si>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</si>
  <si>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</si>
  <si>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</si>
  <si>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</si>
  <si>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</si>
  <si>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</si>
  <si>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</si>
  <si>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</si>
  <si>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</si>
  <si>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</si>
  <si>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</si>
  <si>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</si>
  <si>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</si>
  <si>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</si>
  <si>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</si>
  <si>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</si>
  <si>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</si>
  <si>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</si>
  <si>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</si>
  <si>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</si>
  <si>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</si>
  <si>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</si>
  <si>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</si>
  <si>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</si>
  <si>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</si>
  <si>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</si>
  <si>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</si>
  <si>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</si>
  <si>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</si>
  <si>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</si>
  <si>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</si>
  <si>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</si>
  <si>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</si>
  <si>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</si>
  <si>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</si>
  <si>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</si>
  <si>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</si>
  <si>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</si>
  <si>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</si>
  <si>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</si>
  <si>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</si>
  <si>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</si>
  <si>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</si>
  <si>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</si>
  <si>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</si>
  <si>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</si>
  <si>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</si>
  <si>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</si>
  <si>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</si>
  <si>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</si>
  <si>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</si>
  <si>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</si>
  <si>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</si>
  <si>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</si>
  <si>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</si>
  <si>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</si>
  <si>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</si>
  <si>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</si>
  <si>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</si>
  <si>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</si>
  <si>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</si>
  <si>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</si>
  <si>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</si>
  <si>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</si>
  <si>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</si>
  <si>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</si>
  <si>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</si>
  <si>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</si>
  <si>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</si>
  <si>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</si>
  <si>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</si>
  <si>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</si>
  <si>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</si>
  <si>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</si>
  <si>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</si>
  <si>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</si>
  <si>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</si>
  <si>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</si>
  <si>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</si>
  <si>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</si>
  <si>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</si>
  <si>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</si>
  <si>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</si>
  <si>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</si>
  <si>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</si>
  <si>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</si>
  <si>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</si>
  <si>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</si>
  <si>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</si>
  <si>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</si>
  <si>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</si>
  <si>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</si>
  <si>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</si>
  <si>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</si>
  <si>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</si>
  <si>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</si>
  <si>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</si>
  <si>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</si>
  <si>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</si>
  <si>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</si>
  <si>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</si>
  <si>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</si>
  <si>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</si>
  <si>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</si>
  <si>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</si>
  <si>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</si>
  <si>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</si>
  <si>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</si>
  <si>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</si>
  <si>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</si>
  <si>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</si>
  <si>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</si>
  <si>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</si>
  <si>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</si>
  <si>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</si>
  <si>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</si>
  <si>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</si>
  <si>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</si>
  <si>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</si>
  <si>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</si>
  <si>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</si>
  <si>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</si>
  <si>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</si>
  <si>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</si>
  <si>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</si>
  <si>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</si>
  <si>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</si>
  <si>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</si>
  <si>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</si>
  <si>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</si>
  <si>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</si>
  <si>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</si>
  <si>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</si>
  <si>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</si>
  <si>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</si>
  <si>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</si>
  <si>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</si>
  <si>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</si>
  <si>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</si>
  <si>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</si>
  <si>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</si>
  <si>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</si>
  <si>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</si>
  <si>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</si>
  <si>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</si>
  <si>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</si>
  <si>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</si>
  <si>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</si>
  <si>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</si>
  <si>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</si>
  <si>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</si>
  <si>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</si>
  <si>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</si>
  <si>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</si>
  <si>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</si>
  <si>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</si>
  <si>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</si>
  <si>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</si>
  <si>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</si>
  <si>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</si>
  <si>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</si>
  <si>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</si>
  <si>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</si>
  <si>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</si>
  <si>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</si>
  <si>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</si>
  <si>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</si>
  <si>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</si>
  <si>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</si>
  <si>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</si>
  <si>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</si>
  <si>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</si>
  <si>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</si>
  <si>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</si>
  <si>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</si>
  <si>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</si>
  <si>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</si>
  <si>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</si>
  <si>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</si>
  <si>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</si>
  <si>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</si>
  <si>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</si>
  <si>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</si>
  <si>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</si>
  <si>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</si>
  <si>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</si>
  <si>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</si>
  <si>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</si>
  <si>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</si>
  <si>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</si>
  <si>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</si>
  <si>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</si>
  <si>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</si>
  <si>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</si>
  <si>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</si>
  <si>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</si>
  <si>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</si>
  <si>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</si>
  <si>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</si>
  <si>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</si>
  <si>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</si>
  <si>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</si>
  <si>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</si>
  <si>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</si>
  <si>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</si>
  <si>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</si>
  <si>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</si>
  <si>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</si>
  <si>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</si>
  <si>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</si>
  <si>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</si>
  <si>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</si>
  <si>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</si>
  <si>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</si>
  <si>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</si>
  <si>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</si>
  <si>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</si>
  <si>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</si>
  <si>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</si>
  <si>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</si>
  <si>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</si>
  <si>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</si>
  <si>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</si>
  <si>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</si>
  <si>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</si>
  <si>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</si>
  <si>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</si>
  <si>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</si>
  <si>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</si>
  <si>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</si>
  <si>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</si>
  <si>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</si>
  <si>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</si>
  <si>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</si>
  <si>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</si>
  <si>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</si>
  <si>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</si>
  <si>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</si>
  <si>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</si>
  <si>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</si>
  <si>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</si>
  <si>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</si>
  <si>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</si>
  <si>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</si>
  <si>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</si>
  <si>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</si>
  <si>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</si>
  <si>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</si>
  <si>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</si>
  <si>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</si>
  <si>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</si>
  <si>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</si>
  <si>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</si>
  <si>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</si>
  <si>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</si>
  <si>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</si>
  <si>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</si>
  <si>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</si>
  <si>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</si>
  <si>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</si>
  <si>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</si>
  <si>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</si>
  <si>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</si>
  <si>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</si>
  <si>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</si>
  <si>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</si>
  <si>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</si>
  <si>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</si>
  <si>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</si>
  <si>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</si>
  <si>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</si>
  <si>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</si>
  <si>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</si>
  <si>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</si>
  <si>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</si>
  <si>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</si>
  <si>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</si>
  <si>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</si>
  <si>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</si>
  <si>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</si>
  <si>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</si>
  <si>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</si>
  <si>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</si>
  <si>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</si>
  <si>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</si>
  <si>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</si>
  <si>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</si>
  <si>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</si>
  <si>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</si>
  <si>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</si>
  <si>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</si>
  <si>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</si>
  <si>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</si>
  <si>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</si>
  <si>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</si>
  <si>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</si>
  <si>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</si>
  <si>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</si>
  <si>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</si>
  <si>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</si>
  <si>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</si>
  <si>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</si>
  <si>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</si>
  <si>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</si>
  <si>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</si>
  <si>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</si>
  <si>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</si>
  <si>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</si>
  <si>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</si>
  <si>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</si>
  <si>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</si>
  <si>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</si>
  <si>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</si>
  <si>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</si>
  <si>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</si>
  <si>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</si>
  <si>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</si>
  <si>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</si>
  <si>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</si>
  <si>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</si>
  <si>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</si>
  <si>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</si>
  <si>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</si>
  <si>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</si>
  <si>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</si>
  <si>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</si>
  <si>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</si>
  <si>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</si>
  <si>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</si>
  <si>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</si>
  <si>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</si>
  <si>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</si>
  <si>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</si>
  <si>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</si>
  <si>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</si>
  <si>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</si>
  <si>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</si>
  <si>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</si>
  <si>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</si>
  <si>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</si>
  <si>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</si>
  <si>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</si>
  <si>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</si>
  <si>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</si>
  <si>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</si>
  <si>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</si>
  <si>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</si>
  <si>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</si>
  <si>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</si>
  <si>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</si>
  <si>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</si>
  <si>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</si>
  <si>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</si>
  <si>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</si>
  <si>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</si>
  <si>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</si>
  <si>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</si>
  <si>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</si>
  <si>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</si>
  <si>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</si>
  <si>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</si>
  <si>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</si>
  <si>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</si>
  <si>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</si>
  <si>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</si>
  <si>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</si>
  <si>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</si>
  <si>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</si>
  <si>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</si>
  <si>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</si>
  <si>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</si>
  <si>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</si>
  <si>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</si>
  <si>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</si>
  <si>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</si>
  <si>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</si>
  <si>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</si>
  <si>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</si>
  <si>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</si>
  <si>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</si>
  <si>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</si>
  <si>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</si>
  <si>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</si>
  <si>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</si>
  <si>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</si>
  <si>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</si>
  <si>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</si>
  <si>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</si>
  <si>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</si>
  <si>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</si>
  <si>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</si>
  <si>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</si>
  <si>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</si>
  <si>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</si>
  <si>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</si>
  <si>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</si>
  <si>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</si>
  <si>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</si>
  <si>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</si>
  <si>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</si>
  <si>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</si>
  <si>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</si>
  <si>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</si>
  <si>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</si>
  <si>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</si>
  <si>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</si>
  <si>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</si>
  <si>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</si>
  <si>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</si>
  <si>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</si>
  <si>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</si>
  <si>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</si>
  <si>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</si>
  <si>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</si>
  <si>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</si>
  <si>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</si>
  <si>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</si>
  <si>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</si>
  <si>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</si>
  <si>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</si>
  <si>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</si>
  <si>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</si>
  <si>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</si>
  <si>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</si>
  <si>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</si>
  <si>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</si>
  <si>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</si>
  <si>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</si>
  <si>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</si>
  <si>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</si>
  <si>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</si>
  <si>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</si>
  <si>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</si>
  <si>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</si>
  <si>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</si>
  <si>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</si>
  <si>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</si>
  <si>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</si>
  <si>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</si>
  <si>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</si>
  <si>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</si>
  <si>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</si>
  <si>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</si>
  <si>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</si>
  <si>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</si>
  <si>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</si>
  <si>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</si>
  <si>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</si>
  <si>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</si>
  <si>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</si>
  <si>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</si>
  <si>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</si>
  <si>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</si>
  <si>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</si>
  <si>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</si>
  <si>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</si>
  <si>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</si>
  <si>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</si>
  <si>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</si>
  <si>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</si>
  <si>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</si>
  <si>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</si>
  <si>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</si>
  <si>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</si>
  <si>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</si>
  <si>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</si>
  <si>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</si>
  <si>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</si>
  <si>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</si>
  <si>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</si>
  <si>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</si>
  <si>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</si>
  <si>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</si>
  <si>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</si>
  <si>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</si>
  <si>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</si>
  <si>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</si>
  <si>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</si>
  <si>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</si>
  <si>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</si>
  <si>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</si>
  <si>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</si>
  <si>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</si>
  <si>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</si>
  <si>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</si>
  <si>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</si>
  <si>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</si>
  <si>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</si>
  <si>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</si>
  <si>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</si>
  <si>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</si>
  <si>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</si>
  <si>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</si>
  <si>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</si>
  <si>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</si>
  <si>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</si>
  <si>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</si>
  <si>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</si>
  <si>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</si>
  <si>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</si>
  <si>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</si>
  <si>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</si>
  <si>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</si>
  <si>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</si>
  <si>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</si>
  <si>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</si>
  <si>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</si>
  <si>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</si>
  <si>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</si>
  <si>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</si>
  <si>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</si>
  <si>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</si>
  <si>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</si>
  <si>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</si>
  <si>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</si>
  <si>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</si>
  <si>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</si>
  <si>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</si>
  <si>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</si>
  <si>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</si>
  <si>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</si>
  <si>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</si>
  <si>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</si>
  <si>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</si>
  <si>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</si>
  <si>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</si>
  <si>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</si>
  <si>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</si>
  <si>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</si>
  <si>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</si>
  <si>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</si>
  <si>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</si>
  <si>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</si>
  <si>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</si>
  <si>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</si>
  <si>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</si>
  <si>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</si>
  <si>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</si>
  <si>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</si>
  <si>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</si>
  <si>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</si>
  <si>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</si>
  <si>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</si>
  <si>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</si>
  <si>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</si>
  <si>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</si>
  <si>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</si>
  <si>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</si>
  <si>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</si>
  <si>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</si>
  <si>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</si>
  <si>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</si>
  <si>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</si>
  <si>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</si>
  <si>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</si>
  <si>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</si>
  <si>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</si>
  <si>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</si>
  <si>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</si>
  <si>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</si>
  <si>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</si>
  <si>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</si>
  <si>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</si>
  <si>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</si>
  <si>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</si>
  <si>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</si>
  <si>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</si>
  <si>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</si>
  <si>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</si>
  <si>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</si>
  <si>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</si>
  <si>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</si>
  <si>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</si>
  <si>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</si>
  <si>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</si>
  <si>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</si>
  <si>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</si>
  <si>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</si>
  <si>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</si>
  <si>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</si>
  <si>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</si>
  <si>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</si>
  <si>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</si>
  <si>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</si>
  <si>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</si>
  <si>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</si>
  <si>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</si>
  <si>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</si>
  <si>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</si>
  <si>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</si>
  <si>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</si>
  <si>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</si>
  <si>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</si>
  <si>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</si>
  <si>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</si>
  <si>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</si>
  <si>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</si>
  <si>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</si>
  <si>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</si>
  <si>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</si>
  <si>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</si>
  <si>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</si>
  <si>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</si>
  <si>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</si>
  <si>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</si>
  <si>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</si>
  <si>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</si>
  <si>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</si>
  <si>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</si>
  <si>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</si>
  <si>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</si>
  <si>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</si>
  <si>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</si>
  <si>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</si>
  <si>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</si>
  <si>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</si>
  <si>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</si>
  <si>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</si>
  <si>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</si>
  <si>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</si>
  <si>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</si>
  <si>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</si>
  <si>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</si>
  <si>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</si>
  <si>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</si>
  <si>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</si>
  <si>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</si>
  <si>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</si>
  <si>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</si>
  <si>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</si>
  <si>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</si>
  <si>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</si>
  <si>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</si>
  <si>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</si>
  <si>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</si>
  <si>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</si>
  <si>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</si>
  <si>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</si>
  <si>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</si>
  <si>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</si>
  <si>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</si>
  <si>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</si>
  <si>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</si>
  <si>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</si>
  <si>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</si>
  <si>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</si>
  <si>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</si>
  <si>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</si>
  <si>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</si>
  <si>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</si>
  <si>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</si>
  <si>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</si>
  <si>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</si>
  <si>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</si>
  <si>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</si>
  <si>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</si>
  <si>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</si>
  <si>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</si>
  <si>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</si>
  <si>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</si>
  <si>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</si>
  <si>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</si>
  <si>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</si>
  <si>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</si>
  <si>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</si>
  <si>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</si>
  <si>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</si>
  <si>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</si>
  <si>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</si>
  <si>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</si>
  <si>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</si>
  <si>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</si>
  <si>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</si>
  <si>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</si>
  <si>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</si>
  <si>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</si>
  <si>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</si>
  <si>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</si>
  <si>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</si>
  <si>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</si>
  <si>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</si>
  <si>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</si>
  <si>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</si>
  <si>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</si>
  <si>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</si>
  <si>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</si>
  <si>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</si>
  <si>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</si>
  <si>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</si>
  <si>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</si>
  <si>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</si>
  <si>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</si>
  <si>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</si>
  <si>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</si>
  <si>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</si>
  <si>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</si>
  <si>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</si>
  <si>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</si>
  <si>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</si>
  <si>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</si>
  <si>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</si>
  <si>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</si>
  <si>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</si>
  <si>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</si>
  <si>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</si>
  <si>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</si>
  <si>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</si>
  <si>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</si>
  <si>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</si>
  <si>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</si>
  <si>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</si>
  <si>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</si>
  <si>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</si>
  <si>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</si>
  <si>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</si>
  <si>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</si>
  <si>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</si>
  <si>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</si>
  <si>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</si>
  <si>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</si>
  <si>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</si>
  <si>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</si>
  <si>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</si>
  <si>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</si>
  <si>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</si>
  <si>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</si>
  <si>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</si>
  <si>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</si>
  <si>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</si>
  <si>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</si>
  <si>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</si>
  <si>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</si>
  <si>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</si>
  <si>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</si>
  <si>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</si>
  <si>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</si>
  <si>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</si>
  <si>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</si>
  <si>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</si>
  <si>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</si>
  <si>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</si>
  <si>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</si>
  <si>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</si>
  <si>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</si>
  <si>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</si>
  <si>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</si>
  <si>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</si>
  <si>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</si>
  <si>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</si>
  <si>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</si>
  <si>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</si>
  <si>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</si>
  <si>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</si>
  <si>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</si>
  <si>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</si>
  <si>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</si>
  <si>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</si>
  <si>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</si>
  <si>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</si>
  <si>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</si>
  <si>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</si>
  <si>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</si>
  <si>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</si>
  <si>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</si>
  <si>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</si>
  <si>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</si>
  <si>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</si>
  <si>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</si>
  <si>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</si>
  <si>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</si>
  <si>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</si>
  <si>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</si>
  <si>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</si>
  <si>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</si>
  <si>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</si>
  <si>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</si>
  <si>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</si>
  <si>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</si>
  <si>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</si>
  <si>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</si>
  <si>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</si>
  <si>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</si>
  <si>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</si>
  <si>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</si>
  <si>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</si>
  <si>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</si>
  <si>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</si>
  <si>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</si>
  <si>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</si>
  <si>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</si>
  <si>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</si>
  <si>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</si>
  <si>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</si>
  <si>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</si>
  <si>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</si>
  <si>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</si>
  <si>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</si>
  <si>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</si>
  <si>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</si>
  <si>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</si>
  <si>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</si>
  <si>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</si>
  <si>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</si>
  <si>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</si>
  <si>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</si>
  <si>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</si>
  <si>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</si>
  <si>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</si>
  <si>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</si>
  <si>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</si>
  <si>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</si>
  <si>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</si>
  <si>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</si>
  <si>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</si>
  <si>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</si>
  <si>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</si>
  <si>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</si>
  <si>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</si>
  <si>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</si>
  <si>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</si>
  <si>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</si>
  <si>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</si>
  <si>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</si>
  <si>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</si>
  <si>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</si>
  <si>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</si>
  <si>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</si>
  <si>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</si>
  <si>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</si>
  <si>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</si>
  <si>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</si>
  <si>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</si>
  <si>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</si>
  <si>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</si>
  <si>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</si>
  <si>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</si>
  <si>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</si>
  <si>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</si>
  <si>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</si>
  <si>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</si>
  <si>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</si>
  <si>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</si>
  <si>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</si>
  <si>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</si>
  <si>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</si>
  <si>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</si>
  <si>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</si>
  <si>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</si>
  <si>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</si>
  <si>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</si>
  <si>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</si>
  <si>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</si>
  <si>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</si>
  <si>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</si>
  <si>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</si>
  <si>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</si>
  <si>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</si>
  <si>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</si>
  <si>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</si>
  <si>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</si>
  <si>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</si>
  <si>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</si>
  <si>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</si>
  <si>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</si>
  <si>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</si>
  <si>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</si>
  <si>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</si>
  <si>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</si>
  <si>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</si>
  <si>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</si>
  <si>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</si>
  <si>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</si>
  <si>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</si>
  <si>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</si>
  <si>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</si>
  <si>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</si>
  <si>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</si>
  <si>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</si>
  <si>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</si>
  <si>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</si>
  <si>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</si>
  <si>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</si>
  <si>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</si>
  <si>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</si>
  <si>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</si>
  <si>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</si>
  <si>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</si>
  <si>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</si>
  <si>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</si>
  <si>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</si>
  <si>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</si>
  <si>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</si>
  <si>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</si>
  <si>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</si>
  <si>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</si>
  <si>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</si>
  <si>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</si>
  <si>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</si>
  <si>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</si>
  <si>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</si>
  <si>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</si>
  <si>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</si>
  <si>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</si>
  <si>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</si>
  <si>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</si>
  <si>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</si>
  <si>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</si>
  <si>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</si>
  <si>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</si>
  <si>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</si>
  <si>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</si>
  <si>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</si>
  <si>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</si>
  <si>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</si>
  <si>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</si>
  <si>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</si>
  <si>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</si>
  <si>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</si>
  <si>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</si>
  <si>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</si>
  <si>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</si>
  <si>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</si>
  <si>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</si>
  <si>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</si>
  <si>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</si>
  <si>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</si>
  <si>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</si>
  <si>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</si>
  <si>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</si>
  <si>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</si>
  <si>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</si>
  <si>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</si>
  <si>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</si>
  <si>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</si>
  <si>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</si>
  <si>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</si>
  <si>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</si>
  <si>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</si>
  <si>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</si>
  <si>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</si>
  <si>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</si>
  <si>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</si>
  <si>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</si>
  <si>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</si>
  <si>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</si>
  <si>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</si>
  <si>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</si>
  <si>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</si>
  <si>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</si>
  <si>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</si>
  <si>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</si>
  <si>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</si>
  <si>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</si>
  <si>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</si>
  <si>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</si>
  <si>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</si>
  <si>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</si>
  <si>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</si>
  <si>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</si>
  <si>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</si>
  <si>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</si>
  <si>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</si>
  <si>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</si>
  <si>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</si>
  <si>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</si>
  <si>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</si>
  <si>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</si>
  <si>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</si>
  <si>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</si>
  <si>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</si>
  <si>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</si>
  <si>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</si>
  <si>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</si>
  <si>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</si>
  <si>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</si>
  <si>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</si>
  <si>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</si>
  <si>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</si>
  <si>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</si>
  <si>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</si>
  <si>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</si>
  <si>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</si>
  <si>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</si>
  <si>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</si>
  <si>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</si>
  <si>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</si>
  <si>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</si>
  <si>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</si>
  <si>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</si>
  <si>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</si>
  <si>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</si>
  <si>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</si>
  <si>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</si>
  <si>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</si>
  <si>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</si>
  <si>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</si>
  <si>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</si>
  <si>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</si>
  <si>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</si>
  <si>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</si>
  <si>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</si>
  <si>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</si>
  <si>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</si>
  <si>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</si>
  <si>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</si>
  <si>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</si>
  <si>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</si>
  <si>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</si>
  <si>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</si>
  <si>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</si>
  <si>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</si>
  <si>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</si>
  <si>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</si>
  <si>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</si>
  <si>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</si>
  <si>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</si>
  <si>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</si>
  <si>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</si>
  <si>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</si>
  <si>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</si>
  <si>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</si>
  <si>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</si>
  <si>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</si>
  <si>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</si>
  <si>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</si>
  <si>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</si>
  <si>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</si>
  <si>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</si>
  <si>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</si>
  <si>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</si>
  <si>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</si>
  <si>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</si>
  <si>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</si>
  <si>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</si>
  <si>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</si>
  <si>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</si>
  <si>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</si>
  <si>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</si>
  <si>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</si>
  <si>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</si>
  <si>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</si>
  <si>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</si>
  <si>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</si>
  <si>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</si>
  <si>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</si>
  <si>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</si>
  <si>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</si>
  <si>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</si>
  <si>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</si>
  <si>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</si>
  <si>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</si>
  <si>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</si>
  <si>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</si>
  <si>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</si>
  <si>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</si>
  <si>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</si>
  <si>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</si>
  <si>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</si>
  <si>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</si>
  <si>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</si>
  <si>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</si>
  <si>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</si>
  <si>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</si>
  <si>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</si>
  <si>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</si>
  <si>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</si>
  <si>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</si>
  <si>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</si>
  <si>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</si>
  <si>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</si>
  <si>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</si>
  <si>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</si>
  <si>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</si>
  <si>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</si>
  <si>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</si>
  <si>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</si>
  <si>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</si>
  <si>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</si>
  <si>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</si>
  <si>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</si>
  <si>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</si>
  <si>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</si>
  <si>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</si>
  <si>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</si>
  <si>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</si>
  <si>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</si>
  <si>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</si>
  <si>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</si>
  <si>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</si>
  <si>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</si>
  <si>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</si>
  <si>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</si>
  <si>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</si>
  <si>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</si>
  <si>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</si>
  <si>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</si>
  <si>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</si>
  <si>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</si>
  <si>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</si>
  <si>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</si>
  <si>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</si>
  <si>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</si>
  <si>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</si>
  <si>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</si>
  <si>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</si>
  <si>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</si>
  <si>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</si>
  <si>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</si>
  <si>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</si>
  <si>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</si>
  <si>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</si>
  <si>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</si>
  <si>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</si>
  <si>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</si>
  <si>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</si>
  <si>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</si>
  <si>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</si>
  <si>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</si>
  <si>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</si>
  <si>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</si>
  <si>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</si>
  <si>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</si>
  <si>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</si>
  <si>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</si>
  <si>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</si>
  <si>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</si>
  <si>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</si>
  <si>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</si>
  <si>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</si>
  <si>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</si>
  <si>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</si>
  <si>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</si>
  <si>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</si>
  <si>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</si>
  <si>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</si>
  <si>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</si>
  <si>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</si>
  <si>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</si>
  <si>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</si>
  <si>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</si>
  <si>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</si>
  <si>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</si>
  <si>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</si>
  <si>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</si>
  <si>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</si>
  <si>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</si>
  <si>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</si>
  <si>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</si>
  <si>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</si>
  <si>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</si>
  <si>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</si>
  <si>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</si>
  <si>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</si>
  <si>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</si>
  <si>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</si>
  <si>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</si>
  <si>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</si>
  <si>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</si>
  <si>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</si>
  <si>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</si>
  <si>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</si>
  <si>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</si>
  <si>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</si>
  <si>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</si>
  <si>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</si>
  <si>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</si>
  <si>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</si>
  <si>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</si>
  <si>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</si>
  <si>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</si>
  <si>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</si>
  <si>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</si>
  <si>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</si>
  <si>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</si>
  <si>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</si>
  <si>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</si>
  <si>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</si>
  <si>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</si>
  <si>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</si>
  <si>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</si>
  <si>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</si>
  <si>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</si>
  <si>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</si>
  <si>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</si>
  <si>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</si>
  <si>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</si>
  <si>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</si>
  <si>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</si>
  <si>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</si>
  <si>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</si>
  <si>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</si>
  <si>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</si>
  <si>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</si>
  <si>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</si>
  <si>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</si>
  <si>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</si>
  <si>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</si>
  <si>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</si>
  <si>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</si>
  <si>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</si>
  <si>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</si>
  <si>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</si>
  <si>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</si>
  <si>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</si>
  <si>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</si>
  <si>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</si>
  <si>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</si>
  <si>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</si>
  <si>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</si>
  <si>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</si>
  <si>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</si>
  <si>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</si>
  <si>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</si>
  <si>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</si>
  <si>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</si>
  <si>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</si>
  <si>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</si>
  <si>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</si>
  <si>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</si>
  <si>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</si>
  <si>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</si>
  <si>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</si>
  <si>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</si>
  <si>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</si>
  <si>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</si>
  <si>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</si>
  <si>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</si>
  <si>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</si>
  <si>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</si>
  <si>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</si>
  <si>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</si>
  <si>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</si>
  <si>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</si>
  <si>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</si>
  <si>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</si>
  <si>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</si>
  <si>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</si>
  <si>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</si>
  <si>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</si>
  <si>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</si>
  <si>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</si>
  <si>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</si>
  <si>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</si>
  <si>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</si>
  <si>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</si>
  <si>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</si>
  <si>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</si>
  <si>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</si>
  <si>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</si>
  <si>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</si>
  <si>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</si>
  <si>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</si>
  <si>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</si>
  <si>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</si>
  <si>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</si>
  <si>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</si>
  <si>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</si>
  <si>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</si>
  <si>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</si>
  <si>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</si>
  <si>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</si>
  <si>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</si>
  <si>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</si>
  <si>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</si>
  <si>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</si>
  <si>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</si>
  <si>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</si>
  <si>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</si>
  <si>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</si>
  <si>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</si>
  <si>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</si>
  <si>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</si>
  <si>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</si>
  <si>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</si>
  <si>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</si>
  <si>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</si>
  <si>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</si>
  <si>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</si>
  <si>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</si>
  <si>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</si>
  <si>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</si>
  <si>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</si>
  <si>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</si>
  <si>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</si>
  <si>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</si>
  <si>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</si>
  <si>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</si>
  <si>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</si>
  <si>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</si>
  <si>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</si>
  <si>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</si>
  <si>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</si>
  <si>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</si>
  <si>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</si>
  <si>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</si>
  <si>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</si>
  <si>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</si>
  <si>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</si>
  <si>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</si>
  <si>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</si>
  <si>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</si>
  <si>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</si>
  <si>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</si>
  <si>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</si>
  <si>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</si>
  <si>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</si>
  <si>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</si>
  <si>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</si>
  <si>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</si>
  <si>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</si>
  <si>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</si>
  <si>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</si>
  <si>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</si>
  <si>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</si>
  <si>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</si>
  <si>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</si>
  <si>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</si>
  <si>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</si>
  <si>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</si>
  <si>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</si>
  <si>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</si>
  <si>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</si>
  <si>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</si>
  <si>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</si>
  <si>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</si>
  <si>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</si>
  <si>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</si>
  <si>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</si>
  <si>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</si>
  <si>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</si>
  <si>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</si>
  <si>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</si>
  <si>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</si>
  <si>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</si>
  <si>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</si>
  <si>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</si>
  <si>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</si>
  <si>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</si>
  <si>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</si>
  <si>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</si>
  <si>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</si>
  <si>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</si>
  <si>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</si>
  <si>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</si>
  <si>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</si>
  <si>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</si>
  <si>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</si>
  <si>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</si>
  <si>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</si>
  <si>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</si>
  <si>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</si>
  <si>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</si>
  <si>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</si>
  <si>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</si>
  <si>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</si>
  <si>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</si>
  <si>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</si>
  <si>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</si>
  <si>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</si>
  <si>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</si>
  <si>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</si>
  <si>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</si>
  <si>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</si>
  <si>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</si>
  <si>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</si>
  <si>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</si>
  <si>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</si>
  <si>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</si>
  <si>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</si>
  <si>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</si>
  <si>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</si>
  <si>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</si>
  <si>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</si>
  <si>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</si>
  <si>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</si>
  <si>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</si>
  <si>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</si>
  <si>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</si>
  <si>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</si>
  <si>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</si>
  <si>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</si>
  <si>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</si>
  <si>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</si>
  <si>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</si>
  <si>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</si>
  <si>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</si>
  <si>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</si>
  <si>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</si>
  <si>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</si>
  <si>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</si>
  <si>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</si>
  <si>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</si>
  <si>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</si>
  <si>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</si>
  <si>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</si>
  <si>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</si>
  <si>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</si>
  <si>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</si>
  <si>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</si>
  <si>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</si>
  <si>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</si>
  <si>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</si>
  <si>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</si>
  <si>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</si>
  <si>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</si>
  <si>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</si>
  <si>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</si>
  <si>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</si>
  <si>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</si>
  <si>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</si>
  <si>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</si>
  <si>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</si>
  <si>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</si>
  <si>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</si>
  <si>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</si>
  <si>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</si>
  <si>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</si>
  <si>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</si>
  <si>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</si>
  <si>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</si>
  <si>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</si>
  <si>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</si>
  <si>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</si>
  <si>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</si>
  <si>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</si>
  <si>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</si>
  <si>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</si>
  <si>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</si>
  <si>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</si>
  <si>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</si>
  <si>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</si>
  <si>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</si>
  <si>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</si>
  <si>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</si>
  <si>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</si>
  <si>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</si>
  <si>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</si>
  <si>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</si>
  <si>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</si>
  <si>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</si>
  <si>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</si>
  <si>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</si>
  <si>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</si>
  <si>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</si>
  <si>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</si>
  <si>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</si>
  <si>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</si>
  <si>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</si>
  <si>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</si>
  <si>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</si>
  <si>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</si>
  <si>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</si>
  <si>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</si>
  <si>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</si>
  <si>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</si>
  <si>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</si>
  <si>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</si>
  <si>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</si>
  <si>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</si>
  <si>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</si>
  <si>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</si>
  <si>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</si>
  <si>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</si>
  <si>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</si>
  <si>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</si>
  <si>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</si>
  <si>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</si>
  <si>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</si>
  <si>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</si>
  <si>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</si>
  <si>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</si>
  <si>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</si>
  <si>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</si>
  <si>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</si>
  <si>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</si>
  <si>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</si>
  <si>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</si>
  <si>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</si>
  <si>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</si>
  <si>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</si>
  <si>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</si>
  <si>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</si>
  <si>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</si>
  <si>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</si>
  <si>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</si>
  <si>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</si>
  <si>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</si>
  <si>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</si>
  <si>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</si>
  <si>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</si>
  <si>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</si>
  <si>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</si>
  <si>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</si>
  <si>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</si>
  <si>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</si>
  <si>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</si>
  <si>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</si>
  <si>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</si>
  <si>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</si>
  <si>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</si>
  <si>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</si>
  <si>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</si>
  <si>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</si>
  <si>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</si>
  <si>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</si>
  <si>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</si>
  <si>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</si>
  <si>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</si>
  <si>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</si>
  <si>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</si>
  <si>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</si>
  <si>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</si>
  <si>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</si>
  <si>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</si>
  <si>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</si>
  <si>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</si>
  <si>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</si>
  <si>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</si>
  <si>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</si>
  <si>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</si>
  <si>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</si>
  <si>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</si>
  <si>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</si>
  <si>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</si>
  <si>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</si>
  <si>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</si>
  <si>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</si>
  <si>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</si>
  <si>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</si>
  <si>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</si>
  <si>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</si>
  <si>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</si>
  <si>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</si>
  <si>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</si>
  <si>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</si>
  <si>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</si>
  <si>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</si>
  <si>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</si>
  <si>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</si>
  <si>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</si>
  <si>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</si>
  <si>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</si>
  <si>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</si>
  <si>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</si>
  <si>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</si>
  <si>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</si>
  <si>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</si>
  <si>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</si>
  <si>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</si>
  <si>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</si>
  <si>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</si>
  <si>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</si>
  <si>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</si>
  <si>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</si>
  <si>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</si>
  <si>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</si>
  <si>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</si>
  <si>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</si>
  <si>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</si>
  <si>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</si>
  <si>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</si>
  <si>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</si>
  <si>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</si>
  <si>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</si>
  <si>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</si>
  <si>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</si>
  <si>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</si>
  <si>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</si>
  <si>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</si>
  <si>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</si>
  <si>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</si>
  <si>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</si>
  <si>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</si>
  <si>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</si>
  <si>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</si>
  <si>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</si>
  <si>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</si>
  <si>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</si>
  <si>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</si>
  <si>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</si>
  <si>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</si>
  <si>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</si>
  <si>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</si>
  <si>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</si>
  <si>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</si>
  <si>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</si>
  <si>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</si>
  <si>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</si>
  <si>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</si>
  <si>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</si>
  <si>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</si>
  <si>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</si>
  <si>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</si>
  <si>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</si>
  <si>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</si>
  <si>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</si>
  <si>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</si>
  <si>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</si>
  <si>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</si>
  <si>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</si>
  <si>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</si>
  <si>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</si>
  <si>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</si>
  <si>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</si>
  <si>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</si>
  <si>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</si>
  <si>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</si>
  <si>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</si>
  <si>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</si>
  <si>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</si>
  <si>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</si>
  <si>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</si>
  <si>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</si>
  <si>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</si>
  <si>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</si>
  <si>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</si>
  <si>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</si>
  <si>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</si>
  <si>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</si>
  <si>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</si>
  <si>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</si>
  <si>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</si>
  <si>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</si>
  <si>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</si>
  <si>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</si>
  <si>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</si>
  <si>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</si>
  <si>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</si>
  <si>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</si>
  <si>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</si>
  <si>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</si>
  <si>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</si>
  <si>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</si>
  <si>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</si>
  <si>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</si>
  <si>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</si>
  <si>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</si>
  <si>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</si>
  <si>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</si>
  <si>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</si>
  <si>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</si>
  <si>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</si>
  <si>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</si>
  <si>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</si>
  <si>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</si>
  <si>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</si>
  <si>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</si>
  <si>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</si>
  <si>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</si>
  <si>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</si>
  <si>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</si>
  <si>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</si>
  <si>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</si>
  <si>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</si>
  <si>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</si>
  <si>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</si>
  <si>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</si>
  <si>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</si>
  <si>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</si>
  <si>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</si>
  <si>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</si>
  <si>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</si>
  <si>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</si>
  <si>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</si>
  <si>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</si>
  <si>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</si>
  <si>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</si>
  <si>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</si>
  <si>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</si>
  <si>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</si>
  <si>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</si>
  <si>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</si>
  <si>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</si>
  <si>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</si>
  <si>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</si>
  <si>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</si>
  <si>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</si>
  <si>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</si>
  <si>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</si>
  <si>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</si>
  <si>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</si>
  <si>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</si>
  <si>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</si>
  <si>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</si>
  <si>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</si>
  <si>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</si>
  <si>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</si>
  <si>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</si>
  <si>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</si>
  <si>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</si>
  <si>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</si>
  <si>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</si>
  <si>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</si>
  <si>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</si>
  <si>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</si>
  <si>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</si>
  <si>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</si>
  <si>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</si>
  <si>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</si>
  <si>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</si>
  <si>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</si>
  <si>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</si>
  <si>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</si>
  <si>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</si>
  <si>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</si>
  <si>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</si>
  <si>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</si>
  <si>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</si>
  <si>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</si>
  <si>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</si>
  <si>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</si>
  <si>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</si>
  <si>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</si>
  <si>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</si>
  <si>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</si>
  <si>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</si>
  <si>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</si>
  <si>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</si>
  <si>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</si>
  <si>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</si>
  <si>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</si>
  <si>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</si>
  <si>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</si>
  <si>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</si>
  <si>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</si>
  <si>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</si>
  <si>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</si>
  <si>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</si>
  <si>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</si>
  <si>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</si>
  <si>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</si>
  <si>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</si>
  <si>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</si>
  <si>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</si>
  <si>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</si>
  <si>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</si>
  <si>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</si>
  <si>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</si>
  <si>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</si>
  <si>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</si>
  <si>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</si>
  <si>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</si>
  <si>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</si>
  <si>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</si>
  <si>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</si>
  <si>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</si>
  <si>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</si>
  <si>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</si>
  <si>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</si>
  <si>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</si>
  <si>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</si>
  <si>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</si>
  <si>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</si>
  <si>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</si>
  <si>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</si>
  <si>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</si>
  <si>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</si>
  <si>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</si>
  <si>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</si>
  <si>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</si>
  <si>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</si>
  <si>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</si>
  <si>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</si>
  <si>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</si>
  <si>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</si>
  <si>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</si>
  <si>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</si>
  <si>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</si>
  <si>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</si>
  <si>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</si>
  <si>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</si>
  <si>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</si>
  <si>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</si>
  <si>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</si>
  <si>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</si>
  <si>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</si>
  <si>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</si>
  <si>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</si>
  <si>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</si>
  <si>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</si>
  <si>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</si>
  <si>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</si>
  <si>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</si>
  <si>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</si>
  <si>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</si>
  <si>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</si>
  <si>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</si>
  <si>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</si>
  <si>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</si>
  <si>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</si>
  <si>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</si>
  <si>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</si>
  <si>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</si>
  <si>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</si>
  <si>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</si>
  <si>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</si>
  <si>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</si>
  <si>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</si>
  <si>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</si>
  <si>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</si>
  <si>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</si>
  <si>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</si>
  <si>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</si>
  <si>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</si>
  <si>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</si>
  <si>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</si>
  <si>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</si>
  <si>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</si>
  <si>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</si>
  <si>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</si>
  <si>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</si>
  <si>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</si>
  <si>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</si>
  <si>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</si>
  <si>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</si>
  <si>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</si>
  <si>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</si>
  <si>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</si>
  <si>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</si>
  <si>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</si>
  <si>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</si>
  <si>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</si>
  <si>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</si>
  <si>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</si>
  <si>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</si>
  <si>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</si>
  <si>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</si>
  <si>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</si>
  <si>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</si>
  <si>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</si>
  <si>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</si>
  <si>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</si>
  <si>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</si>
  <si>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</si>
  <si>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</si>
  <si>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</si>
  <si>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</si>
  <si>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</si>
  <si>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</si>
  <si>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</si>
  <si>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</si>
  <si>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</si>
  <si>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</si>
  <si>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</si>
  <si>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</si>
  <si>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</si>
  <si>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</si>
  <si>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</si>
  <si>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</si>
  <si>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</si>
  <si>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</si>
  <si>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</si>
  <si>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</si>
  <si>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</si>
  <si>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</si>
  <si>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</si>
  <si>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</si>
  <si>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</si>
  <si>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</si>
  <si>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</si>
  <si>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</si>
  <si>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</si>
  <si>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</si>
  <si>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</si>
  <si>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</si>
  <si>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</si>
  <si>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</si>
  <si>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</si>
  <si>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</si>
  <si>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</si>
  <si>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</si>
  <si>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</si>
  <si>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</si>
  <si>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</si>
  <si>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</si>
  <si>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</si>
  <si>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</si>
  <si>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</si>
  <si>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</si>
  <si>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</si>
  <si>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</si>
  <si>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</si>
  <si>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</si>
  <si>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</si>
  <si>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</si>
  <si>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</si>
  <si>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</si>
  <si>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</si>
  <si>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</si>
  <si>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</si>
  <si>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</si>
  <si>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</si>
  <si>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</si>
  <si>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</si>
  <si>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</si>
  <si>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</si>
  <si>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</si>
  <si>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</si>
  <si>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</si>
  <si>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</si>
  <si>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</si>
  <si>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</si>
  <si>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</si>
  <si>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</si>
  <si>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</si>
  <si>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</si>
  <si>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</si>
  <si>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</si>
  <si>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</si>
  <si>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</si>
  <si>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</si>
  <si>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</si>
  <si>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</si>
  <si>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</si>
  <si>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</si>
  <si>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</si>
  <si>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</si>
  <si>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</si>
  <si>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</si>
  <si>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</si>
  <si>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</si>
  <si>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</si>
  <si>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</si>
  <si>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</si>
  <si>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</si>
  <si>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</si>
  <si>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</si>
  <si>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</si>
  <si>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</si>
  <si>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</si>
  <si>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</si>
  <si>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</si>
  <si>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</si>
  <si>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</si>
  <si>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</si>
  <si>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</si>
  <si>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</si>
  <si>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</si>
  <si>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</si>
  <si>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</si>
  <si>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</si>
  <si>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</si>
  <si>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</si>
  <si>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</si>
  <si>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</si>
  <si>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</si>
  <si>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</si>
  <si>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</si>
  <si>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</si>
  <si>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</si>
  <si>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</si>
  <si>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</si>
  <si>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</si>
  <si>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</si>
  <si>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</si>
  <si>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</si>
  <si>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</si>
  <si>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</si>
  <si>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</si>
  <si>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</si>
  <si>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</si>
  <si>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</si>
  <si>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</si>
  <si>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</si>
  <si>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</si>
  <si>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</si>
  <si>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</si>
  <si>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</si>
  <si>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</si>
  <si>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</si>
  <si>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</si>
  <si>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</si>
  <si>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</si>
  <si>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</si>
  <si>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</si>
  <si>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</si>
  <si>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</si>
  <si>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</si>
  <si>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</si>
  <si>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</si>
  <si>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</si>
  <si>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</si>
  <si>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</si>
  <si>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</si>
  <si>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</si>
  <si>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</si>
  <si>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</si>
  <si>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</si>
  <si>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</si>
  <si>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</si>
  <si>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</si>
  <si>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</si>
  <si>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</si>
  <si>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</si>
  <si>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</si>
  <si>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</si>
  <si>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</si>
  <si>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</si>
  <si>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</si>
  <si>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</si>
  <si>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</si>
  <si>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</si>
  <si>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</si>
  <si>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</si>
  <si>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</si>
  <si>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</si>
  <si>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</si>
  <si>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</si>
  <si>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</si>
  <si>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</si>
  <si>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</si>
  <si>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</si>
  <si>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</si>
  <si>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</si>
  <si>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</si>
  <si>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</si>
  <si>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</si>
  <si>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</si>
  <si>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</si>
  <si>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</si>
  <si>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</si>
  <si>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</si>
  <si>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</si>
  <si>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</si>
  <si>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</si>
  <si>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</si>
  <si>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</si>
  <si>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</si>
  <si>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</si>
  <si>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</si>
  <si>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</si>
  <si>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</si>
  <si>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</si>
  <si>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</si>
  <si>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</si>
  <si>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</si>
  <si>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</si>
  <si>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</si>
  <si>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</si>
  <si>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</si>
  <si>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</si>
  <si>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</si>
  <si>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</si>
  <si>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</si>
  <si>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</si>
  <si>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</si>
  <si>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</si>
  <si>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</si>
  <si>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</si>
  <si>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</si>
  <si>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</si>
  <si>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</si>
  <si>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</si>
  <si>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</si>
  <si>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</si>
  <si>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</si>
  <si>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</si>
  <si>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</si>
  <si>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</si>
  <si>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</si>
  <si>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</si>
  <si>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</si>
  <si>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</si>
  <si>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</si>
  <si>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</si>
  <si>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</si>
  <si>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</si>
  <si>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</si>
  <si>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</si>
  <si>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</si>
  <si>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</si>
  <si>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</si>
  <si>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</si>
  <si>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</si>
  <si>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</si>
  <si>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</si>
  <si>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</si>
  <si>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</si>
  <si>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</si>
  <si>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</si>
  <si>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</si>
  <si>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</si>
  <si>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</si>
  <si>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</si>
  <si>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</si>
  <si>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</si>
  <si>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</si>
  <si>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</si>
  <si>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</si>
  <si>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</si>
  <si>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</si>
  <si>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</si>
  <si>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</si>
  <si>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</si>
  <si>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</si>
  <si>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</si>
  <si>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</si>
  <si>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</si>
  <si>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</si>
  <si>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</si>
  <si>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</si>
  <si>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</si>
  <si>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</si>
  <si>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</si>
  <si>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</si>
  <si>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</si>
  <si>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</si>
  <si>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</si>
  <si>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</si>
  <si>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</si>
  <si>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</si>
  <si>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</si>
  <si>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</si>
  <si>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</si>
  <si>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</si>
  <si>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</si>
  <si>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</si>
  <si>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</si>
  <si>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</si>
  <si>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</si>
  <si>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</si>
  <si>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</si>
  <si>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</si>
  <si>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</si>
  <si>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</si>
  <si>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</si>
  <si>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</si>
  <si>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</si>
  <si>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</si>
  <si>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</si>
  <si>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</si>
  <si>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</si>
  <si>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</si>
  <si>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</si>
  <si>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</si>
  <si>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</si>
  <si>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</si>
  <si>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</si>
  <si>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</si>
  <si>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</si>
  <si>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</si>
  <si>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</si>
  <si>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</si>
  <si>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</si>
  <si>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</si>
  <si>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</si>
  <si>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</si>
  <si>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</si>
  <si>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</si>
  <si>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</si>
  <si>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</si>
  <si>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</si>
  <si>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</si>
  <si>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</si>
  <si>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</si>
  <si>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</si>
  <si>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</si>
  <si>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</si>
  <si>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</si>
  <si>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</si>
  <si>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</si>
  <si>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</si>
  <si>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</si>
  <si>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</si>
  <si>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</si>
  <si>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</si>
  <si>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</si>
  <si>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</si>
  <si>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</si>
  <si>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</si>
  <si>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</si>
  <si>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</si>
  <si>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</si>
  <si>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</si>
  <si>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</si>
  <si>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</si>
  <si>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</si>
  <si>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</si>
  <si>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</si>
  <si>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</si>
  <si>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</si>
  <si>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</si>
  <si>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</si>
  <si>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</si>
  <si>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</si>
  <si>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</si>
  <si>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</si>
  <si>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</si>
  <si>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</si>
  <si>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</si>
  <si>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</si>
  <si>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</si>
  <si>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</si>
  <si>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</si>
  <si>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</si>
  <si>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</si>
  <si>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</si>
  <si>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</si>
  <si>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</si>
  <si>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</si>
  <si>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</si>
  <si>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</si>
  <si>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</si>
  <si>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</si>
  <si>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</si>
  <si>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</si>
  <si>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</si>
  <si>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</si>
  <si>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</si>
  <si>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</si>
  <si>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</si>
  <si>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</si>
  <si>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</si>
  <si>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</si>
  <si>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</si>
  <si>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</si>
  <si>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</si>
  <si>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</si>
  <si>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</si>
  <si>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</si>
  <si>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</si>
  <si>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</si>
  <si>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</si>
  <si>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</si>
  <si>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</si>
  <si>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</si>
  <si>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</si>
  <si>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</si>
  <si>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</si>
  <si>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</si>
  <si>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</si>
  <si>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</si>
  <si>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</si>
  <si>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</si>
  <si>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</si>
  <si>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</si>
  <si>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</si>
  <si>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</si>
  <si>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</si>
  <si>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</si>
  <si>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</si>
  <si>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</si>
  <si>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</si>
  <si>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</si>
  <si>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</si>
  <si>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</si>
  <si>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</si>
  <si>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</si>
  <si>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</si>
  <si>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</si>
  <si>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</si>
  <si>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</si>
  <si>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</si>
  <si>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</si>
  <si>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</si>
  <si>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</si>
  <si>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</si>
  <si>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</si>
  <si>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</si>
  <si>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</si>
  <si>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</si>
  <si>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</si>
  <si>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</si>
  <si>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</si>
  <si>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</si>
  <si>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</si>
  <si>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</si>
  <si>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</si>
  <si>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</si>
  <si>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</si>
  <si>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</si>
  <si>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</si>
  <si>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</si>
  <si>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</si>
  <si>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</si>
  <si>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</si>
  <si>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</si>
  <si>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</si>
  <si>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</si>
  <si>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</si>
  <si>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</si>
  <si>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</si>
  <si>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</si>
  <si>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</si>
  <si>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</si>
  <si>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</si>
  <si>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</si>
  <si>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</si>
  <si>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</si>
  <si>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</si>
  <si>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</si>
  <si>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</si>
  <si>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</si>
  <si>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</si>
  <si>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</si>
  <si>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</si>
  <si>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</si>
  <si>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</si>
  <si>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</si>
  <si>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</si>
  <si>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</si>
  <si>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</si>
  <si>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</si>
  <si>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</si>
  <si>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</si>
  <si>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</si>
  <si>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</si>
  <si>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</si>
  <si>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</si>
  <si>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</si>
  <si>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</si>
  <si>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</si>
  <si>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</si>
  <si>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</si>
  <si>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</si>
  <si>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</si>
  <si>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</si>
  <si>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</si>
  <si>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</si>
  <si>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</si>
  <si>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</si>
  <si>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</si>
  <si>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</si>
  <si>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</si>
  <si>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</si>
  <si>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</si>
  <si>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</si>
  <si>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</si>
  <si>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</si>
  <si>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</si>
  <si>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</si>
  <si>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</si>
  <si>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</si>
  <si>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</si>
  <si>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</si>
  <si>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</si>
  <si>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</si>
  <si>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</si>
  <si>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</si>
  <si>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</si>
  <si>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</si>
  <si>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</si>
  <si>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</si>
  <si>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</si>
  <si>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</si>
  <si>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</si>
  <si>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</si>
  <si>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</si>
  <si>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</si>
  <si>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</si>
  <si>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</si>
  <si>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</si>
  <si>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</si>
  <si>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</si>
  <si>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</si>
  <si>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</si>
  <si>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</si>
  <si>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</si>
  <si>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</si>
  <si>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</si>
  <si>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</si>
  <si>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</si>
  <si>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</si>
  <si>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</si>
  <si>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</si>
  <si>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</si>
  <si>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</si>
  <si>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</si>
  <si>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</si>
  <si>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</si>
  <si>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</si>
  <si>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</si>
  <si>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</si>
  <si>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</si>
  <si>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</si>
  <si>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</si>
  <si>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</si>
  <si>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</si>
  <si>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</si>
  <si>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</si>
  <si>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</si>
  <si>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</si>
  <si>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</si>
  <si>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</si>
  <si>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</si>
  <si>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</si>
  <si>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</si>
  <si>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</si>
  <si>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</si>
  <si>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</si>
  <si>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</si>
  <si>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</si>
  <si>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</si>
  <si>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</si>
  <si>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</si>
  <si>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</si>
  <si>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</si>
  <si>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</si>
  <si>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</si>
  <si>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</si>
  <si>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</si>
  <si>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</si>
  <si>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</si>
  <si>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</si>
  <si>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</si>
  <si>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</si>
  <si>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</si>
  <si>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</si>
  <si>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</si>
  <si>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</si>
  <si>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</si>
  <si>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</si>
  <si>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</si>
  <si>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</si>
  <si>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</si>
  <si>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</si>
  <si>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</si>
  <si>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</si>
  <si>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</si>
  <si>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</si>
  <si>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</si>
  <si>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</si>
  <si>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</si>
  <si>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</si>
  <si>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</si>
  <si>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</si>
  <si>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</si>
  <si>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</si>
  <si>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</si>
  <si>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</si>
  <si>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</si>
  <si>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</si>
  <si>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</si>
  <si>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</si>
  <si>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</si>
  <si>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</si>
  <si>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</si>
  <si>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</si>
  <si>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</si>
  <si>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</si>
  <si>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</si>
  <si>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</si>
  <si>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</si>
  <si>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</si>
  <si>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</si>
  <si>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</si>
  <si>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</si>
  <si>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</si>
  <si>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</si>
  <si>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</si>
  <si>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</si>
  <si>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</si>
  <si>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</si>
  <si>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</si>
  <si>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</si>
  <si>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</si>
  <si>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</si>
  <si>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</si>
  <si>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</si>
  <si>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</si>
  <si>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</si>
  <si>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</si>
  <si>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</si>
  <si>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</si>
  <si>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</si>
  <si>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</si>
  <si>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</si>
  <si>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</si>
  <si>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</si>
  <si>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</si>
  <si>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</si>
  <si>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</si>
  <si>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</si>
  <si>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</si>
  <si>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</si>
  <si>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</si>
  <si>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</si>
  <si>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</si>
  <si>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</si>
  <si>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</si>
  <si>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</si>
  <si>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</si>
  <si>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</si>
  <si>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</si>
  <si>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</si>
  <si>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</si>
  <si>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</si>
  <si>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</si>
  <si>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</si>
  <si>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</si>
  <si>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</si>
  <si>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</si>
  <si>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</si>
  <si>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</si>
  <si>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</si>
  <si>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</si>
  <si>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</si>
  <si>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</si>
  <si>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</si>
  <si>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</si>
  <si>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</si>
  <si>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</si>
  <si>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</si>
  <si>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</si>
  <si>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</si>
  <si>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</si>
  <si>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</si>
  <si>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</si>
  <si>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</si>
  <si>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</si>
  <si>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</si>
  <si>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</si>
  <si>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</si>
  <si>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</si>
  <si>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</si>
  <si>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</si>
  <si>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</si>
  <si>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</si>
  <si>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</si>
  <si>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</si>
  <si>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</si>
  <si>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</si>
  <si>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</si>
  <si>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</si>
  <si>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</si>
  <si>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</si>
  <si>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</si>
  <si>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</si>
  <si>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</si>
  <si>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</si>
  <si>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</si>
  <si>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</si>
  <si>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</si>
  <si>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</si>
  <si>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</si>
  <si>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</si>
  <si>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</si>
  <si>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</si>
  <si>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</si>
  <si>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</si>
  <si>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</si>
  <si>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</si>
  <si>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</si>
  <si>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</si>
  <si>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</si>
  <si>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</si>
  <si>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</si>
  <si>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</si>
  <si>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</si>
  <si>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</si>
  <si>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</si>
  <si>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</si>
  <si>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</si>
  <si>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</si>
  <si>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</si>
  <si>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</si>
  <si>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</si>
  <si>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</si>
  <si>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</si>
  <si>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</si>
  <si>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</si>
  <si>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</si>
  <si>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</si>
  <si>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</si>
  <si>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</si>
  <si>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</si>
  <si>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</si>
  <si>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</si>
  <si>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</si>
  <si>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</si>
  <si>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</si>
  <si>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</si>
  <si>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</si>
  <si>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</si>
  <si>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</si>
  <si>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</si>
  <si>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</si>
  <si>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</si>
  <si>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</si>
  <si>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</si>
  <si>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</si>
  <si>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</si>
  <si>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</si>
  <si>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</si>
  <si>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</si>
  <si>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</si>
  <si>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</si>
  <si>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</si>
  <si>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</si>
  <si>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</si>
  <si>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</si>
  <si>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</si>
  <si>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</si>
  <si>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</si>
  <si>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</si>
  <si>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</si>
  <si>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</si>
  <si>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</si>
  <si>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</si>
  <si>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</si>
  <si>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</si>
  <si>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</si>
  <si>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</si>
  <si>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</si>
  <si>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</si>
  <si>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</si>
  <si>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</si>
  <si>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</si>
  <si>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</si>
  <si>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</si>
  <si>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</si>
  <si>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</si>
  <si>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</si>
  <si>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</si>
  <si>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</si>
  <si>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</si>
  <si>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</si>
  <si>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</si>
  <si>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</si>
  <si>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</si>
  <si>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</si>
  <si>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</si>
  <si>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</si>
  <si>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</si>
  <si>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</si>
  <si>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</si>
  <si>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</si>
  <si>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</si>
  <si>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</si>
  <si>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</si>
  <si>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</si>
  <si>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</si>
  <si>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</si>
  <si>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</si>
  <si>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</si>
  <si>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</si>
  <si>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</si>
  <si>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</si>
  <si>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</si>
  <si>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</si>
  <si>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</si>
  <si>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</si>
  <si>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</si>
  <si>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</si>
  <si>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</si>
  <si>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</si>
  <si>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</si>
  <si>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</si>
  <si>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</si>
  <si>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</si>
  <si>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</si>
  <si>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</si>
  <si>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</si>
  <si>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</si>
  <si>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</si>
  <si>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</si>
  <si>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</si>
  <si>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</si>
  <si>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</si>
  <si>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</si>
  <si>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</si>
  <si>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</si>
  <si>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</si>
  <si>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</si>
  <si>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</si>
  <si>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</si>
  <si>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</si>
  <si>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</si>
  <si>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</si>
  <si>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</si>
  <si>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</si>
  <si>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</si>
  <si>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</si>
  <si>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</si>
  <si>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</si>
  <si>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</si>
  <si>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</si>
  <si>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</si>
  <si>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</si>
  <si>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</si>
  <si>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</si>
  <si>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</si>
  <si>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</si>
  <si>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</si>
  <si>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</si>
  <si>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</si>
  <si>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</si>
  <si>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</si>
  <si>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</si>
  <si>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</si>
  <si>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</si>
  <si>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</si>
  <si>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</si>
  <si>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</si>
  <si>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</si>
  <si>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</si>
  <si>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</si>
  <si>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</si>
  <si>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</si>
  <si>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</si>
  <si>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</si>
  <si>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</si>
  <si>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</si>
  <si>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</si>
  <si>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</si>
  <si>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</si>
  <si>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</si>
  <si>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</si>
  <si>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</si>
  <si>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</si>
  <si>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</si>
  <si>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</si>
  <si>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</si>
  <si>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</si>
  <si>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</si>
  <si>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</si>
  <si>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</si>
  <si>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</si>
  <si>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</si>
  <si>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</si>
  <si>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</si>
  <si>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</si>
  <si>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</si>
  <si>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</si>
  <si>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</si>
  <si>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</si>
  <si>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</si>
  <si>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</si>
  <si>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</si>
  <si>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</si>
  <si>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</si>
  <si>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</si>
  <si>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</si>
  <si>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</si>
  <si>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</si>
  <si>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</si>
  <si>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</si>
  <si>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</si>
  <si>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</si>
  <si>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</si>
  <si>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</si>
  <si>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</si>
  <si>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</si>
  <si>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</si>
  <si>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</si>
  <si>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</si>
  <si>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</si>
  <si>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</si>
  <si>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</si>
  <si>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</si>
  <si>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</si>
  <si>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</si>
  <si>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</si>
  <si>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</si>
  <si>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</si>
  <si>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</si>
  <si>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</si>
  <si>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</si>
  <si>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</si>
  <si>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</si>
  <si>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</si>
  <si>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</si>
  <si>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</si>
  <si>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</si>
  <si>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</si>
  <si>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</si>
  <si>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</si>
  <si>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</si>
  <si>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</si>
  <si>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</si>
  <si>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</si>
  <si>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</si>
  <si>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</si>
  <si>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</si>
  <si>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</si>
  <si>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</si>
  <si>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</si>
  <si>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</si>
  <si>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</si>
  <si>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</si>
  <si>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</si>
  <si>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</si>
  <si>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</si>
  <si>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</si>
  <si>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</si>
  <si>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</si>
  <si>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</si>
  <si>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</si>
  <si>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</si>
  <si>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</si>
  <si>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</si>
  <si>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</si>
  <si>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</si>
  <si>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</si>
  <si>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</si>
  <si>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</si>
  <si>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</si>
  <si>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</si>
  <si>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</si>
  <si>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</si>
  <si>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</si>
  <si>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</si>
  <si>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</si>
  <si>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</si>
  <si>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</si>
  <si>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</si>
  <si>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</si>
  <si>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</si>
  <si>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</si>
  <si>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</si>
  <si>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</si>
  <si>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</si>
  <si>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</si>
  <si>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</si>
  <si>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</si>
  <si>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</si>
  <si>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</si>
  <si>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</si>
  <si>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</si>
  <si>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</si>
  <si>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</si>
  <si>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</si>
  <si>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</si>
  <si>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</si>
  <si>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</si>
  <si>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</si>
  <si>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</si>
  <si>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</si>
  <si>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</si>
  <si>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</si>
  <si>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</si>
  <si>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</si>
  <si>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</si>
  <si>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</si>
  <si>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</si>
  <si>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</si>
  <si>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</si>
  <si>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</si>
  <si>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</si>
  <si>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</si>
  <si>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</si>
  <si>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</si>
  <si>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</si>
  <si>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</si>
  <si>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</si>
  <si>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</si>
  <si>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</si>
  <si>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</si>
  <si>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</si>
  <si>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</si>
  <si>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</si>
  <si>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</si>
  <si>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</si>
  <si>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</si>
  <si>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</si>
  <si>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</si>
  <si>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</si>
  <si>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</si>
  <si>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</si>
  <si>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</si>
  <si>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</si>
  <si>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</si>
  <si>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</si>
  <si>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</si>
  <si>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</si>
  <si>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</si>
  <si>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</si>
  <si>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</si>
  <si>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</si>
  <si>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</si>
  <si>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</si>
  <si>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</si>
  <si>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</si>
  <si>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</si>
  <si>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</si>
  <si>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</si>
  <si>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</si>
  <si>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</si>
  <si>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</si>
  <si>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</si>
  <si>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</si>
  <si>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</si>
  <si>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</si>
  <si>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</si>
  <si>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</si>
  <si>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</si>
  <si>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</si>
  <si>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</si>
  <si>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</si>
  <si>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</si>
  <si>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</si>
  <si>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</si>
  <si>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</si>
  <si>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</si>
  <si>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</si>
  <si>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</si>
  <si>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</si>
  <si>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</si>
  <si>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</si>
  <si>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</si>
  <si>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</si>
  <si>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</si>
  <si>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</si>
  <si>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</si>
  <si>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</si>
  <si>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</si>
  <si>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</si>
  <si>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</si>
  <si>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</si>
  <si>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</si>
  <si>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</si>
  <si>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</si>
  <si>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</si>
  <si>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</si>
  <si>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</si>
  <si>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</si>
  <si>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</si>
  <si>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</si>
  <si>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</si>
  <si>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</si>
  <si>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</si>
  <si>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</si>
  <si>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</si>
  <si>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</si>
  <si>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</si>
  <si>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</si>
  <si>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</si>
  <si>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</si>
  <si>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</si>
  <si>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</si>
  <si>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</si>
  <si>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</si>
  <si>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</si>
  <si>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</si>
  <si>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</si>
  <si>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</si>
  <si>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</si>
  <si>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</si>
  <si>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</si>
  <si>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</si>
  <si>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</si>
  <si>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</si>
  <si>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</si>
  <si>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</si>
  <si>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</si>
  <si>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</si>
  <si>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</si>
  <si>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</si>
  <si>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</si>
  <si>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</si>
  <si>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</si>
  <si>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</si>
  <si>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</si>
  <si>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</si>
  <si>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</si>
  <si>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</si>
  <si>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</si>
  <si>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</si>
  <si>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</si>
  <si>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</si>
  <si>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</si>
  <si>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</si>
  <si>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</si>
  <si>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</si>
  <si>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</si>
  <si>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</si>
  <si>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</si>
  <si>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</si>
  <si>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</si>
  <si>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</si>
  <si>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</si>
  <si>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</si>
  <si>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</si>
  <si>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</si>
  <si>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</si>
  <si>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</si>
  <si>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</si>
  <si>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</si>
  <si>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</si>
  <si>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</si>
  <si>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</si>
  <si>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</si>
  <si>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</si>
  <si>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</si>
  <si>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</si>
  <si>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</si>
  <si>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</si>
  <si>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</si>
  <si>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</si>
  <si>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</si>
  <si>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</si>
  <si>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</si>
  <si>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</si>
  <si>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</si>
  <si>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</si>
  <si>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</si>
  <si>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</si>
  <si>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</si>
  <si>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</si>
  <si>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</si>
  <si>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</si>
  <si>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</si>
  <si>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</si>
  <si>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</si>
  <si>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</si>
  <si>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</si>
  <si>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</si>
  <si>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</si>
  <si>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</si>
  <si>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</si>
  <si>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</si>
  <si>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</si>
  <si>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</si>
  <si>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</si>
  <si>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</si>
  <si>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</si>
  <si>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</si>
  <si>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</si>
  <si>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</si>
  <si>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</si>
  <si>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</si>
  <si>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</si>
  <si>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</si>
  <si>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</si>
  <si>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</si>
  <si>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</si>
  <si>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</si>
  <si>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</si>
  <si>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</si>
  <si>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</si>
  <si>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</si>
  <si>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</si>
  <si>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</si>
  <si>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</si>
  <si>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</si>
  <si>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</si>
  <si>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</si>
  <si>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</si>
  <si>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</si>
  <si>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</si>
  <si>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</si>
  <si>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</si>
  <si>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</si>
  <si>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</si>
  <si>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</si>
  <si>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</si>
  <si>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</si>
  <si>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</si>
  <si>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</si>
  <si>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</si>
  <si>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</si>
  <si>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</si>
  <si>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</si>
  <si>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</si>
  <si>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</si>
  <si>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</si>
  <si>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</si>
  <si>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</si>
  <si>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</si>
  <si>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</si>
  <si>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</si>
  <si>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</si>
  <si>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</si>
  <si>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</si>
  <si>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</si>
  <si>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</si>
  <si>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</si>
  <si>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</si>
  <si>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</si>
  <si>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</si>
  <si>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</si>
  <si>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</si>
  <si>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</si>
  <si>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</si>
  <si>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</si>
  <si>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</si>
  <si>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</si>
  <si>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</si>
  <si>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</si>
  <si>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</si>
  <si>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</si>
  <si>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</si>
  <si>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</si>
  <si>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</si>
  <si>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</si>
  <si>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</si>
  <si>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</si>
  <si>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</si>
  <si>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</si>
  <si>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</si>
  <si>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</si>
  <si>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</si>
  <si>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</si>
  <si>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</si>
  <si>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</si>
  <si>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</si>
  <si>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</si>
  <si>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</si>
  <si>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</si>
  <si>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</si>
  <si>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</si>
  <si>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</si>
  <si>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</si>
  <si>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</si>
  <si>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</si>
  <si>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</si>
  <si>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</si>
  <si>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</si>
  <si>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</si>
  <si>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</si>
  <si>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</si>
  <si>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</si>
  <si>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</si>
  <si>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</si>
  <si>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</si>
  <si>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</si>
  <si>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</si>
  <si>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</si>
  <si>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</si>
  <si>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</si>
  <si>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</si>
  <si>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</si>
  <si>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</si>
  <si>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</si>
  <si>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</si>
  <si>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</si>
  <si>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</si>
  <si>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</si>
  <si>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</si>
  <si>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</si>
  <si>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</si>
  <si>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</si>
  <si>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</si>
  <si>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</si>
  <si>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</si>
  <si>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</si>
  <si>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</si>
  <si>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</si>
  <si>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</si>
  <si>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</si>
  <si>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</si>
  <si>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</si>
  <si>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</si>
  <si>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</si>
  <si>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</si>
  <si>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</si>
  <si>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</si>
  <si>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</si>
  <si>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</si>
  <si>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</si>
  <si>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</si>
  <si>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</si>
  <si>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</si>
  <si>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</si>
  <si>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</si>
  <si>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</si>
  <si>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</si>
  <si>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</si>
  <si>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</si>
  <si>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</si>
  <si>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</si>
  <si>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</si>
  <si>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</si>
  <si>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</si>
  <si>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</si>
  <si>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</si>
  <si>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</si>
  <si>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</si>
  <si>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</si>
  <si>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</si>
  <si>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</si>
  <si>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</si>
  <si>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</si>
  <si>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</si>
  <si>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</si>
  <si>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</si>
  <si>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</si>
  <si>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</si>
  <si>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</si>
  <si>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</si>
  <si>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</si>
  <si>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</si>
  <si>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</si>
  <si>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</si>
  <si>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</si>
  <si>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</si>
  <si>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</si>
  <si>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</si>
  <si>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</si>
  <si>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</si>
  <si>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</si>
  <si>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</si>
  <si>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</si>
  <si>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</si>
  <si>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</si>
  <si>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</si>
  <si>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</si>
  <si>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</si>
  <si>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</si>
  <si>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</si>
  <si>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</si>
  <si>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</si>
  <si>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</si>
  <si>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</si>
  <si>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</si>
  <si>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</si>
  <si>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</si>
  <si>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</si>
  <si>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</si>
  <si>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</si>
  <si>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</si>
  <si>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</si>
  <si>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</si>
  <si>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</si>
  <si>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</si>
  <si>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</si>
  <si>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</si>
  <si>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</si>
  <si>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</si>
  <si>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</si>
  <si>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</si>
  <si>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</si>
  <si>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</si>
  <si>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</si>
  <si>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</si>
  <si>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</si>
  <si>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</si>
  <si>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</si>
  <si>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</si>
  <si>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</si>
  <si>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</si>
  <si>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</si>
  <si>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</si>
  <si>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</si>
  <si>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</si>
  <si>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</si>
  <si>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</si>
  <si>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</si>
  <si>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</si>
  <si>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</si>
  <si>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</si>
  <si>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</si>
  <si>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</si>
  <si>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</si>
  <si>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</si>
  <si>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</si>
  <si>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</si>
  <si>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</si>
  <si>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</si>
  <si>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</si>
  <si>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</si>
  <si>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</si>
  <si>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</si>
  <si>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</si>
  <si>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</si>
  <si>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</si>
  <si>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</si>
  <si>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</si>
  <si>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</si>
  <si>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</si>
  <si>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</si>
  <si>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</si>
  <si>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</si>
  <si>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</si>
  <si>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</si>
  <si>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</si>
  <si>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</si>
  <si>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</si>
  <si>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</si>
  <si>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</si>
  <si>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</si>
  <si>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</si>
  <si>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</si>
  <si>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</si>
  <si>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</si>
  <si>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</si>
  <si>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</si>
  <si>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</si>
  <si>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</si>
  <si>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</si>
  <si>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</si>
  <si>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</si>
  <si>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</si>
  <si>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</si>
  <si>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</si>
  <si>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</si>
  <si>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</si>
  <si>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</si>
  <si>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</si>
  <si>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</si>
  <si>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</si>
  <si>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</si>
  <si>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</si>
  <si>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</si>
  <si>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</si>
  <si>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</si>
  <si>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</si>
  <si>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</si>
  <si>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</si>
  <si>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</si>
  <si>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</si>
  <si>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</si>
  <si>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</si>
  <si>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</si>
  <si>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</si>
  <si>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</si>
  <si>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</si>
  <si>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</si>
  <si>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</si>
  <si>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</si>
  <si>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</si>
  <si>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</si>
  <si>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</si>
  <si>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</si>
  <si>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</si>
  <si>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</si>
  <si>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</si>
  <si>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</si>
  <si>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</si>
  <si>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</si>
  <si>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</si>
  <si>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</si>
  <si>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</si>
  <si>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</si>
  <si>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</si>
  <si>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</si>
  <si>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</si>
  <si>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</si>
  <si>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</si>
  <si>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</si>
  <si>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</si>
  <si>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</si>
  <si>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</si>
  <si>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</si>
  <si>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</si>
  <si>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</si>
  <si>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</si>
  <si>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</si>
  <si>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</si>
  <si>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</si>
  <si>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</si>
  <si>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</si>
  <si>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</si>
  <si>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</si>
  <si>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</si>
  <si>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</si>
  <si>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</si>
  <si>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</si>
  <si>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</si>
  <si>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</si>
  <si>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</si>
  <si>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</si>
  <si>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</si>
  <si>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</si>
  <si>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</si>
  <si>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</si>
  <si>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</si>
  <si>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</si>
  <si>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</si>
  <si>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</si>
  <si>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</si>
  <si>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</si>
  <si>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</si>
  <si>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</si>
  <si>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</si>
  <si>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</si>
  <si>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</si>
  <si>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</si>
  <si>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</si>
  <si>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</si>
  <si>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</si>
  <si>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</si>
  <si>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</si>
  <si>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</si>
  <si>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</si>
  <si>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</si>
  <si>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</si>
  <si>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</si>
  <si>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</si>
  <si>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</si>
  <si>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</si>
  <si>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</si>
  <si>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</si>
  <si>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</si>
  <si>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</si>
  <si>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</si>
  <si>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</si>
  <si>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</si>
  <si>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</si>
  <si>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</si>
  <si>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</si>
  <si>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</si>
  <si>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</si>
  <si>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</si>
  <si>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</si>
  <si>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</si>
  <si>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</si>
  <si>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</si>
  <si>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</si>
  <si>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</si>
  <si>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</si>
  <si>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</si>
  <si>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</si>
  <si>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</si>
  <si>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</si>
  <si>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</si>
  <si>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</si>
  <si>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</si>
  <si>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</si>
  <si>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</si>
  <si>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</si>
  <si>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</si>
  <si>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</si>
  <si>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</si>
  <si>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</si>
  <si>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</si>
  <si>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</si>
  <si>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</si>
  <si>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</si>
  <si>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</si>
  <si>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</si>
  <si>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</si>
  <si>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</si>
  <si>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</si>
  <si>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</si>
  <si>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</si>
  <si>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</si>
  <si>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</si>
  <si>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</si>
  <si>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</si>
  <si>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</si>
  <si>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</si>
  <si>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</si>
  <si>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</si>
  <si>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</si>
  <si>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</si>
  <si>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</si>
  <si>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</si>
  <si>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</si>
  <si>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</si>
  <si>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</si>
  <si>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</si>
  <si>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</si>
  <si>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</si>
  <si>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</si>
  <si>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</si>
  <si>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</si>
  <si>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</si>
  <si>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</si>
  <si>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</si>
  <si>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</si>
  <si>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</si>
  <si>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</si>
  <si>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</si>
  <si>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</si>
  <si>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</si>
  <si>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</si>
  <si>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</si>
  <si>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</si>
  <si>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</si>
  <si>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</si>
  <si>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</si>
  <si>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</si>
  <si>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</si>
  <si>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</si>
  <si>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</si>
  <si>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</si>
  <si>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</si>
  <si>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</si>
  <si>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</si>
  <si>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</si>
  <si>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</si>
  <si>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</si>
  <si>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</si>
  <si>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</si>
  <si>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</si>
  <si>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</si>
  <si>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</si>
  <si>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</si>
  <si>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</si>
  <si>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</si>
  <si>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</si>
  <si>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</si>
  <si>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</si>
  <si>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</si>
  <si>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</si>
  <si>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</si>
  <si>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</si>
  <si>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</si>
  <si>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</si>
  <si>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</si>
  <si>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</si>
  <si>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</si>
  <si>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</si>
  <si>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</si>
  <si>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</si>
  <si>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</si>
  <si>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</si>
  <si>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</si>
  <si>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</si>
  <si>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</si>
  <si>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</si>
  <si>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</si>
  <si>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</si>
  <si>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</si>
  <si>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</si>
  <si>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</si>
  <si>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</si>
  <si>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</si>
  <si>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</si>
  <si>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</si>
  <si>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</si>
  <si>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</si>
  <si>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</si>
  <si>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</si>
  <si>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</si>
  <si>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</si>
  <si>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</si>
  <si>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</si>
  <si>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</si>
  <si>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</si>
  <si>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</si>
  <si>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</si>
  <si>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</si>
  <si>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</si>
  <si>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</si>
  <si>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</si>
  <si>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</si>
  <si>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</si>
  <si>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</si>
  <si>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</si>
  <si>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</si>
  <si>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</si>
  <si>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</si>
  <si>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</si>
  <si>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</si>
  <si>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</si>
  <si>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</si>
  <si>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</si>
  <si>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</si>
  <si>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</si>
  <si>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</si>
  <si>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</si>
  <si>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</si>
  <si>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</si>
  <si>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</si>
  <si>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</si>
  <si>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</si>
  <si>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</si>
  <si>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</si>
  <si>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</si>
  <si>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</si>
  <si>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</si>
  <si>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</si>
  <si>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</si>
  <si>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</si>
  <si>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</si>
  <si>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</si>
  <si>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</si>
  <si>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</si>
  <si>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</si>
  <si>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</si>
  <si>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</si>
  <si>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</si>
  <si>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</si>
  <si>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</si>
  <si>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</si>
  <si>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</si>
  <si>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</si>
  <si>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</si>
  <si>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</si>
  <si>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</si>
  <si>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</si>
  <si>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</si>
  <si>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</si>
  <si>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</si>
  <si>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</si>
  <si>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</si>
  <si>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</si>
  <si>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</si>
  <si>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</si>
  <si>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</si>
  <si>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</si>
  <si>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</si>
  <si>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</si>
  <si>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</si>
  <si>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</si>
  <si>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</si>
  <si>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</si>
  <si>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</si>
  <si>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</si>
  <si>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</si>
  <si>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</si>
  <si>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</si>
  <si>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</si>
  <si>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</si>
  <si>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</si>
  <si>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</si>
  <si>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</si>
  <si>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</si>
  <si>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</si>
  <si>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</si>
  <si>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</si>
  <si>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</si>
  <si>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</si>
  <si>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</si>
  <si>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</si>
  <si>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</si>
  <si>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</si>
  <si>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</si>
  <si>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</si>
  <si>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</si>
  <si>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</si>
  <si>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</si>
  <si>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</si>
  <si>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</si>
  <si>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</si>
  <si>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</si>
  <si>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</si>
  <si>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</si>
  <si>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</si>
  <si>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</si>
  <si>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</si>
  <si>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</si>
  <si>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</si>
  <si>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</si>
  <si>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</si>
  <si>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</si>
  <si>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</si>
  <si>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</si>
  <si>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</si>
  <si>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</si>
  <si>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</si>
  <si>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</si>
  <si>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</si>
  <si>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</si>
  <si>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</si>
  <si>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</si>
  <si>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</si>
  <si>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</si>
  <si>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</si>
  <si>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</si>
  <si>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</si>
  <si>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</si>
  <si>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</si>
  <si>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</si>
  <si>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</si>
  <si>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</si>
  <si>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</si>
  <si>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</si>
  <si>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</si>
  <si>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</si>
  <si>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</si>
  <si>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</si>
  <si>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</si>
  <si>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</si>
  <si>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</si>
  <si>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</si>
  <si>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</si>
  <si>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</si>
  <si>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</si>
  <si>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</si>
  <si>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</si>
  <si>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</si>
  <si>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</si>
  <si>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</si>
  <si>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</si>
  <si>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</si>
  <si>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</si>
  <si>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</si>
  <si>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</si>
  <si>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</si>
  <si>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</si>
  <si>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</si>
  <si>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</si>
  <si>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</si>
  <si>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</si>
  <si>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</si>
  <si>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</si>
  <si>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</si>
  <si>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</si>
  <si>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</si>
  <si>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</si>
  <si>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</si>
  <si>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</si>
  <si>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</si>
  <si>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</si>
  <si>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</si>
  <si>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</si>
  <si>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</si>
  <si>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</si>
  <si>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</si>
  <si>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</si>
  <si>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</si>
  <si>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</si>
  <si>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</si>
  <si>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</si>
  <si>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</si>
  <si>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</si>
  <si>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</si>
  <si>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</si>
  <si>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</si>
  <si>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</si>
  <si>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</si>
  <si>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</si>
  <si>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</si>
  <si>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</si>
  <si>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</si>
  <si>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</si>
  <si>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</si>
  <si>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</si>
  <si>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</si>
  <si>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</si>
  <si>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</si>
  <si>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</si>
  <si>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</si>
  <si>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</si>
  <si>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</si>
  <si>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</si>
  <si>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</si>
  <si>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</si>
  <si>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</si>
  <si>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</si>
  <si>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</si>
  <si>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</si>
  <si>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</si>
  <si>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</si>
  <si>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</si>
  <si>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</si>
  <si>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</si>
  <si>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</si>
  <si>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</si>
  <si>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</si>
  <si>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</si>
  <si>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</si>
  <si>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</si>
  <si>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</si>
  <si>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</si>
  <si>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</si>
  <si>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</si>
  <si>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</si>
  <si>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</si>
  <si>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</si>
  <si>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</si>
  <si>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</si>
  <si>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</si>
  <si>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</si>
  <si>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</si>
  <si>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</si>
  <si>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</si>
  <si>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</si>
  <si>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</si>
  <si>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</si>
  <si>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</si>
  <si>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</si>
  <si>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</si>
  <si>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</si>
  <si>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</si>
  <si>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</si>
  <si>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</si>
  <si>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</si>
  <si>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</si>
  <si>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</si>
  <si>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</si>
  <si>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</si>
  <si>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</si>
  <si>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</si>
  <si>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</si>
  <si>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</si>
  <si>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</si>
  <si>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</si>
  <si>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</si>
  <si>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</si>
  <si>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</si>
  <si>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</si>
  <si>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</si>
  <si>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</si>
  <si>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</si>
  <si>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</si>
  <si>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</si>
  <si>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</si>
  <si>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</si>
  <si>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</si>
  <si>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</si>
  <si>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</si>
  <si>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</si>
  <si>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</si>
  <si>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</si>
  <si>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</si>
  <si>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</si>
  <si>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</si>
  <si>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</si>
  <si>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</si>
  <si>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</si>
  <si>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</si>
  <si>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</si>
  <si>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</si>
  <si>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</si>
  <si>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</si>
  <si>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</si>
  <si>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</si>
  <si>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</si>
  <si>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</si>
  <si>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</si>
  <si>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</si>
  <si>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</si>
  <si>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</si>
  <si>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</si>
  <si>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</si>
  <si>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</si>
  <si>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</si>
  <si>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</si>
  <si>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</si>
  <si>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</si>
  <si>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</si>
  <si>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</si>
  <si>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</si>
  <si>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</si>
  <si>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</si>
  <si>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</si>
  <si>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</si>
  <si>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</si>
  <si>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</si>
  <si>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</si>
  <si>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</si>
  <si>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</si>
  <si>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</si>
  <si>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</si>
  <si>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</si>
  <si>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</si>
  <si>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</si>
  <si>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</si>
  <si>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</si>
  <si>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</si>
  <si>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</si>
  <si>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</si>
  <si>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</si>
  <si>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</si>
  <si>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</si>
  <si>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</si>
  <si>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</si>
  <si>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</si>
  <si>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</si>
  <si>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</si>
  <si>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</si>
  <si>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</si>
  <si>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</si>
  <si>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</si>
  <si>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</si>
  <si>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</si>
  <si>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</si>
  <si>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</si>
  <si>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</si>
  <si>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</si>
  <si>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</si>
  <si>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</si>
  <si>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</si>
  <si>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</si>
  <si>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</si>
  <si>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</si>
  <si>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</si>
  <si>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</si>
  <si>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</si>
  <si>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</si>
  <si>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</si>
  <si>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</si>
  <si>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</si>
  <si>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</si>
  <si>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</si>
  <si>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</si>
  <si>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</si>
  <si>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</si>
  <si>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</si>
  <si>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</si>
  <si>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</si>
  <si>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</si>
  <si>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</si>
  <si>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</si>
  <si>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</si>
  <si>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</si>
  <si>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</si>
  <si>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</si>
  <si>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</si>
  <si>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</si>
  <si>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</si>
  <si>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</si>
  <si>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</si>
  <si>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</si>
  <si>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</si>
  <si>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</si>
  <si>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</si>
  <si>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</si>
  <si>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</si>
  <si>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</si>
  <si>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</si>
  <si>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</si>
  <si>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</si>
  <si>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</si>
  <si>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</si>
  <si>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</si>
  <si>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</si>
  <si>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</si>
  <si>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</si>
  <si>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</si>
  <si>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</si>
  <si>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</si>
  <si>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</si>
  <si>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</si>
  <si>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</si>
  <si>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</si>
  <si>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</si>
  <si>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</si>
  <si>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</si>
  <si>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</si>
  <si>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</si>
  <si>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</si>
  <si>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</si>
  <si>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</si>
  <si>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</si>
  <si>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</si>
  <si>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</si>
  <si>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</si>
  <si>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</si>
  <si>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</si>
  <si>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</si>
  <si>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</si>
  <si>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</si>
  <si>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</si>
  <si>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</si>
  <si>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</si>
  <si>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</si>
  <si>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</si>
  <si>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</si>
  <si>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</si>
  <si>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</si>
  <si>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</si>
  <si>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</si>
  <si>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</si>
  <si>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</si>
  <si>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</si>
  <si>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</si>
  <si>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</si>
  <si>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</si>
  <si>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</si>
  <si>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</si>
  <si>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</si>
  <si>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</si>
  <si>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</si>
  <si>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</si>
  <si>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</si>
  <si>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</si>
  <si>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</si>
  <si>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</si>
  <si>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</si>
  <si>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</si>
  <si>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</si>
  <si>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</si>
  <si>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</si>
  <si>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</si>
  <si>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</si>
  <si>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</si>
  <si>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</si>
  <si>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</si>
  <si>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</si>
  <si>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</si>
  <si>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</si>
  <si>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</si>
  <si>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</si>
  <si>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</si>
  <si>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</si>
  <si>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</si>
  <si>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</si>
  <si>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</si>
  <si>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</si>
  <si>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</si>
  <si>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</si>
  <si>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</si>
  <si>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</si>
  <si>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</si>
  <si>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</si>
  <si>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</si>
  <si>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</si>
  <si>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</si>
  <si>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</si>
  <si>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</si>
  <si>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</si>
  <si>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</si>
  <si>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</si>
  <si>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</si>
  <si>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</si>
  <si>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</si>
  <si>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</si>
  <si>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</si>
  <si>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</si>
  <si>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</si>
  <si>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</si>
  <si>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</si>
  <si>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</si>
  <si>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</si>
  <si>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</si>
  <si>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</si>
  <si>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</si>
  <si>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</si>
  <si>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</si>
  <si>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</si>
  <si>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</si>
  <si>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</si>
  <si>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</si>
  <si>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</si>
  <si>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</si>
  <si>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</si>
  <si>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</si>
  <si>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</si>
  <si>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</si>
  <si>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</si>
  <si>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</si>
  <si>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</si>
  <si>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</si>
  <si>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</si>
  <si>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</si>
  <si>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</si>
  <si>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</si>
  <si>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</si>
  <si>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</si>
  <si>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</si>
  <si>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</si>
  <si>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</si>
  <si>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</si>
  <si>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</si>
  <si>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</si>
  <si>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</si>
  <si>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</si>
  <si>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</si>
  <si>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</si>
  <si>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</si>
  <si>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</si>
  <si>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</si>
  <si>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</si>
  <si>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</si>
  <si>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</si>
  <si>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</si>
  <si>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</si>
  <si>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</si>
  <si>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</si>
  <si>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</si>
  <si>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</si>
  <si>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</si>
  <si>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</si>
  <si>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</si>
  <si>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</si>
  <si>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</si>
  <si>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</si>
  <si>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</si>
  <si>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</si>
  <si>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</si>
  <si>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</si>
  <si>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</si>
  <si>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</si>
  <si>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</si>
  <si>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</si>
  <si>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</si>
  <si>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</si>
  <si>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</si>
  <si>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</si>
  <si>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</si>
  <si>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</si>
  <si>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</si>
  <si>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</si>
  <si>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</si>
  <si>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</si>
  <si>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</si>
  <si>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</si>
  <si>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</si>
  <si>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</si>
  <si>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</si>
  <si>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</si>
  <si>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</si>
  <si>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</si>
  <si>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</si>
  <si>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</si>
  <si>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</si>
  <si>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</si>
  <si>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</si>
  <si>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</si>
  <si>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</si>
  <si>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</si>
  <si>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</si>
  <si>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</si>
  <si>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</si>
  <si>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</si>
  <si>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</si>
  <si>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</si>
  <si>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</si>
  <si>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</si>
  <si>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</si>
  <si>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</si>
  <si>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</si>
  <si>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</si>
  <si>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</si>
  <si>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</si>
  <si>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</si>
  <si>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</si>
  <si>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</si>
  <si>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</si>
  <si>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</si>
  <si>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</si>
  <si>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</si>
  <si>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</si>
  <si>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</si>
  <si>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</si>
  <si>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</si>
  <si>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</si>
  <si>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</si>
  <si>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</si>
  <si>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</si>
  <si>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</si>
  <si>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</si>
  <si>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</si>
  <si>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</si>
  <si>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</si>
  <si>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</si>
  <si>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</si>
  <si>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</si>
  <si>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</si>
  <si>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</si>
  <si>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</si>
  <si>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</si>
  <si>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</si>
  <si>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</si>
  <si>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</si>
  <si>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</si>
  <si>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</si>
  <si>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</si>
  <si>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</si>
  <si>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</si>
  <si>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</si>
  <si>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</si>
  <si>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</si>
  <si>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</si>
  <si>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</si>
  <si>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</si>
  <si>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</si>
  <si>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</si>
  <si>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</si>
  <si>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</si>
  <si>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</si>
  <si>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</si>
  <si>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</si>
  <si>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</si>
  <si>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</si>
  <si>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</si>
  <si>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</si>
  <si>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</si>
  <si>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</si>
  <si>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</si>
  <si>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</si>
  <si>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</si>
  <si>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</si>
  <si>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</si>
  <si>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</si>
  <si>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</si>
  <si>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</si>
  <si>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</si>
  <si>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</si>
  <si>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</si>
  <si>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</si>
  <si>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</si>
  <si>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</si>
  <si>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</si>
  <si>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</si>
  <si>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</si>
  <si>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</si>
  <si>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</si>
  <si>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</si>
  <si>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</si>
  <si>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</si>
  <si>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</si>
  <si>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</si>
  <si>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</si>
  <si>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</si>
  <si>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</si>
  <si>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</si>
  <si>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</si>
  <si>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</si>
  <si>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</si>
  <si>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</si>
  <si>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</si>
  <si>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</si>
  <si>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</si>
  <si>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</si>
  <si>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</si>
  <si>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</si>
  <si>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</si>
  <si>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</si>
  <si>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</si>
  <si>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</si>
  <si>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</si>
  <si>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</si>
  <si>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</si>
  <si>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</si>
  <si>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</si>
  <si>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</si>
  <si>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</si>
  <si>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</si>
  <si>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</si>
  <si>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</si>
  <si>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</si>
  <si>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</si>
  <si>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</si>
  <si>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</si>
  <si>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</si>
  <si>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</si>
  <si>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</si>
  <si>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</si>
  <si>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</si>
  <si>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</si>
  <si>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</si>
  <si>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</si>
  <si>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</si>
  <si>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</si>
  <si>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</si>
  <si>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</si>
  <si>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</si>
  <si>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</si>
  <si>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</si>
  <si>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</si>
  <si>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</si>
  <si>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</si>
  <si>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</si>
  <si>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</si>
  <si>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</si>
  <si>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</si>
  <si>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</si>
  <si>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</si>
  <si>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</si>
  <si>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</si>
  <si>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</si>
  <si>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</si>
  <si>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</si>
  <si>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</si>
  <si>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</si>
  <si>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</si>
  <si>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</si>
  <si>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</si>
  <si>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</si>
  <si>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</si>
  <si>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</si>
  <si>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</si>
  <si>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</si>
  <si>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</si>
  <si>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</si>
  <si>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</si>
  <si>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</si>
  <si>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</si>
  <si>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</si>
  <si>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</si>
  <si>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</si>
  <si>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</si>
  <si>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</si>
  <si>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</si>
  <si>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</si>
  <si>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</si>
  <si>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</si>
  <si>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</si>
  <si>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</si>
  <si>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</si>
  <si>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</si>
  <si>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</si>
  <si>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</si>
  <si>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</si>
  <si>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</si>
  <si>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</si>
  <si>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</si>
  <si>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</si>
  <si>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</si>
  <si>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</si>
  <si>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</si>
  <si>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</si>
  <si>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</si>
  <si>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</si>
  <si>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</si>
  <si>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</si>
  <si>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</si>
  <si>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</si>
  <si>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</si>
  <si>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</si>
  <si>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</si>
  <si>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</si>
  <si>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</si>
  <si>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</si>
  <si>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</si>
  <si>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</si>
  <si>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</si>
  <si>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</si>
  <si>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</si>
  <si>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</si>
  <si>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</si>
  <si>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</si>
  <si>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</si>
  <si>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</si>
  <si>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</si>
  <si>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</si>
  <si>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</si>
  <si>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</si>
  <si>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</si>
  <si>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</si>
  <si>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</si>
  <si>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</si>
  <si>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</si>
  <si>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</si>
  <si>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</si>
  <si>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</si>
  <si>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</si>
  <si>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</si>
  <si>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</si>
  <si>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</si>
  <si>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</si>
  <si>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</si>
  <si>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</si>
  <si>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</si>
  <si>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</si>
  <si>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</si>
  <si>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</si>
  <si>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</si>
  <si>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</si>
  <si>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</si>
  <si>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</si>
  <si>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</si>
  <si>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</si>
  <si>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</si>
  <si>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</si>
  <si>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</si>
  <si>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</si>
  <si>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</si>
  <si>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</si>
  <si>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</si>
  <si>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</si>
  <si>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</si>
  <si>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</si>
  <si>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</si>
  <si>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</si>
  <si>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</si>
  <si>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</si>
  <si>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</si>
  <si>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</si>
  <si>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</si>
  <si>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</si>
  <si>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</si>
  <si>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</si>
  <si>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</si>
  <si>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</si>
  <si>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</si>
  <si>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</si>
  <si>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</si>
  <si>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</si>
  <si>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</si>
  <si>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</si>
  <si>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</si>
  <si>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</si>
  <si>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</si>
  <si>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</si>
  <si>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</si>
  <si>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</si>
  <si>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</si>
  <si>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</si>
  <si>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</si>
  <si>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</si>
  <si>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</si>
  <si>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</si>
  <si>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</si>
  <si>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</si>
  <si>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</si>
  <si>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</si>
  <si>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</si>
  <si>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</si>
  <si>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</si>
  <si>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</si>
  <si>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</si>
  <si>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</si>
  <si>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</si>
  <si>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</si>
  <si>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</si>
  <si>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</si>
  <si>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</si>
  <si>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</si>
  <si>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</si>
  <si>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</si>
  <si>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</si>
  <si>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</si>
  <si>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</si>
  <si>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</si>
  <si>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</si>
  <si>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</si>
  <si>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</si>
  <si>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</si>
  <si>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</si>
  <si>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</si>
  <si>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</si>
  <si>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</si>
  <si>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</si>
  <si>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</si>
  <si>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</si>
  <si>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</si>
  <si>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</si>
  <si>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</si>
  <si>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</si>
  <si>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</si>
  <si>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</si>
  <si>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</si>
  <si>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</si>
  <si>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</si>
  <si>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</si>
  <si>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</si>
  <si>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</si>
  <si>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</si>
  <si>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</si>
  <si>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</si>
  <si>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</si>
  <si>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</si>
  <si>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</si>
  <si>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</si>
  <si>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</si>
  <si>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</si>
  <si>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</si>
  <si>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</si>
  <si>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</si>
  <si>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</si>
  <si>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</si>
  <si>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</si>
  <si>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</si>
  <si>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</si>
  <si>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</si>
  <si>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</si>
  <si>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</si>
  <si>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</si>
  <si>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</si>
  <si>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</si>
  <si>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</si>
  <si>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</si>
  <si>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</si>
  <si>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</si>
  <si>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</si>
  <si>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</si>
  <si>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</si>
  <si>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</si>
  <si>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</si>
  <si>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</si>
  <si>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</si>
  <si>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</si>
  <si>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</si>
  <si>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</si>
  <si>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</si>
  <si>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</si>
  <si>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</si>
  <si>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</si>
  <si>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</si>
  <si>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</si>
  <si>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</si>
  <si>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</si>
  <si>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</si>
  <si>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</si>
  <si>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</si>
  <si>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</si>
  <si>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</si>
  <si>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</si>
  <si>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</si>
  <si>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</si>
  <si>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</si>
  <si>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</si>
  <si>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</si>
  <si>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</si>
  <si>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</si>
  <si>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</si>
  <si>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</si>
  <si>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</si>
  <si>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</si>
  <si>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</si>
  <si>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</si>
  <si>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</si>
  <si>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</si>
  <si>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</si>
  <si>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</si>
  <si>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</si>
  <si>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</si>
  <si>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</si>
  <si>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</si>
  <si>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</si>
  <si>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</si>
  <si>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</si>
  <si>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</si>
  <si>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</si>
  <si>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</si>
  <si>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</si>
  <si>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</si>
  <si>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</si>
  <si>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</si>
  <si>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</si>
  <si>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</si>
  <si>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</si>
  <si>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</si>
  <si>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</si>
  <si>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</si>
  <si>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</si>
  <si>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</si>
  <si>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</si>
  <si>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</si>
  <si>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</si>
  <si>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</si>
  <si>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</si>
  <si>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</si>
  <si>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</si>
  <si>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</si>
  <si>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</si>
  <si>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</si>
  <si>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</si>
  <si>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</si>
  <si>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</si>
  <si>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</si>
  <si>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</si>
  <si>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</si>
  <si>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</si>
  <si>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</si>
  <si>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</si>
  <si>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</si>
  <si>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</si>
  <si>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</si>
  <si>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</si>
  <si>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</si>
  <si>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</si>
  <si>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</si>
  <si>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</si>
  <si>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</si>
  <si>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</si>
  <si>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</si>
  <si>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</si>
  <si>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</si>
  <si>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</si>
  <si>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</si>
  <si>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</si>
  <si>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</si>
  <si>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</si>
  <si>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</si>
  <si>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</si>
  <si>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</si>
  <si>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</si>
  <si>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</si>
  <si>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</si>
  <si>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</si>
  <si>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</si>
  <si>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</si>
  <si>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</si>
  <si>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</si>
  <si>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</si>
  <si>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</si>
  <si>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</si>
  <si>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</si>
  <si>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</si>
  <si>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</si>
  <si>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</si>
  <si>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</si>
  <si>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</si>
  <si>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</si>
  <si>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</si>
  <si>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</si>
  <si>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</si>
  <si>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</si>
  <si>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</si>
  <si>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</si>
  <si>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</si>
  <si>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</si>
  <si>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</si>
  <si>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</si>
  <si>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</si>
  <si>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</si>
  <si>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</si>
  <si>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</si>
  <si>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</si>
  <si>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</si>
  <si>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</si>
  <si>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</si>
  <si>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</si>
  <si>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</si>
  <si>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</si>
  <si>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</si>
  <si>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</si>
  <si>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</si>
  <si>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</si>
  <si>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</si>
  <si>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</si>
  <si>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</si>
  <si>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</si>
  <si>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</si>
  <si>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</si>
  <si>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</si>
  <si>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</si>
  <si>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</si>
  <si>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</si>
  <si>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</si>
  <si>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</si>
  <si>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</si>
  <si>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</si>
  <si>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</si>
  <si>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</si>
  <si>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</si>
  <si>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</si>
  <si>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</si>
  <si>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</si>
  <si>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</si>
  <si>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</si>
  <si>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</si>
  <si>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</si>
  <si>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</si>
  <si>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</si>
  <si>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</si>
  <si>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</si>
  <si>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</si>
  <si>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</si>
  <si>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</si>
  <si>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</si>
  <si>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</si>
  <si>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</si>
  <si>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</si>
  <si>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</si>
  <si>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</si>
  <si>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</si>
  <si>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</si>
  <si>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</si>
  <si>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</si>
  <si>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</si>
  <si>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</si>
  <si>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</si>
  <si>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</si>
  <si>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</si>
  <si>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</si>
  <si>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</si>
  <si>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</si>
  <si>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</si>
  <si>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</si>
  <si>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</si>
  <si>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</si>
  <si>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</si>
  <si>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</si>
  <si>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</si>
  <si>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</si>
  <si>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</si>
  <si>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</si>
  <si>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</si>
  <si>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</si>
  <si>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</si>
  <si>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</si>
  <si>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</si>
  <si>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</si>
  <si>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</si>
  <si>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</si>
  <si>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</si>
  <si>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</si>
  <si>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</si>
  <si>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</si>
  <si>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</si>
  <si>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</si>
  <si>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</si>
  <si>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</si>
  <si>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</si>
  <si>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</si>
  <si>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</si>
  <si>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</si>
  <si>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</si>
  <si>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</si>
  <si>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</si>
  <si>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</si>
  <si>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</si>
  <si>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</si>
  <si>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</si>
  <si>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</si>
  <si>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</si>
  <si>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</si>
  <si>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</si>
  <si>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</si>
  <si>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</si>
  <si>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</si>
  <si>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</si>
  <si>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</si>
  <si>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</si>
  <si>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</si>
  <si>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</si>
  <si>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</si>
  <si>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</si>
  <si>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</si>
  <si>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</si>
  <si>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</si>
  <si>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</si>
  <si>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</si>
  <si>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</si>
  <si>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</si>
  <si>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</si>
  <si>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</si>
  <si>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</si>
  <si>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</si>
  <si>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</si>
  <si>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</si>
  <si>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</si>
  <si>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</si>
  <si>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</si>
  <si>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</si>
  <si>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</si>
  <si>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</si>
  <si>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</si>
  <si>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</si>
  <si>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</si>
  <si>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</si>
  <si>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</si>
  <si>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</si>
  <si>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</si>
  <si>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</si>
  <si>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</si>
  <si>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</si>
  <si>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</si>
  <si>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</si>
  <si>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</si>
  <si>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</si>
  <si>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</si>
  <si>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</si>
  <si>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</si>
  <si>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</si>
  <si>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</si>
  <si>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</si>
  <si>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</si>
  <si>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</si>
  <si>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</si>
  <si>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</si>
  <si>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</si>
  <si>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</si>
  <si>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</si>
  <si>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</si>
  <si>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</si>
  <si>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</si>
  <si>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</si>
  <si>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</si>
  <si>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</si>
  <si>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</si>
  <si>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</si>
  <si>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</si>
  <si>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</si>
  <si>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</si>
  <si>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</si>
  <si>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</si>
  <si>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</si>
  <si>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</si>
  <si>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</si>
  <si>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</si>
  <si>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</si>
  <si>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</si>
  <si>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</si>
  <si>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</si>
  <si>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</si>
  <si>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</si>
  <si>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</si>
  <si>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</si>
  <si>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</si>
  <si>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</si>
  <si>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</si>
  <si>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</si>
  <si>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</si>
  <si>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</si>
  <si>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</si>
  <si>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</si>
  <si>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</si>
  <si>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</si>
  <si>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</si>
  <si>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</si>
  <si>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</si>
  <si>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</si>
  <si>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</si>
  <si>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</si>
  <si>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</si>
  <si>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</si>
  <si>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</si>
  <si>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</si>
  <si>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</si>
  <si>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</si>
  <si>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</si>
  <si>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</si>
  <si>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</si>
  <si>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</si>
  <si>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</si>
  <si>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</si>
  <si>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</si>
  <si>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</si>
  <si>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</si>
  <si>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</si>
  <si>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</si>
  <si>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</si>
  <si>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</si>
  <si>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</si>
  <si>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</si>
  <si>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</si>
  <si>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</si>
  <si>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</si>
  <si>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</si>
  <si>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</si>
  <si>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</si>
  <si>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</si>
  <si>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</si>
  <si>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</si>
  <si>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</si>
  <si>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</si>
  <si>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</si>
  <si>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</si>
  <si>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</si>
  <si>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</si>
  <si>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</si>
  <si>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</si>
  <si>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</si>
  <si>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</si>
  <si>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</si>
  <si>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</si>
  <si>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</si>
  <si>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</si>
  <si>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</si>
  <si>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</si>
  <si>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</si>
  <si>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</si>
  <si>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</si>
  <si>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</si>
  <si>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</si>
  <si>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</si>
  <si>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</si>
  <si>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</si>
  <si>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</si>
  <si>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</si>
  <si>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</si>
  <si>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</si>
  <si>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</si>
  <si>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</si>
  <si>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</si>
  <si>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</si>
  <si>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</si>
  <si>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</si>
  <si>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</si>
  <si>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</si>
  <si>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</si>
  <si>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</si>
  <si>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</si>
  <si>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</si>
  <si>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</si>
  <si>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</si>
  <si>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</si>
  <si>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</si>
  <si>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</si>
  <si>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</si>
  <si>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</si>
  <si>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</si>
  <si>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</si>
  <si>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</si>
  <si>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</si>
  <si>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</si>
  <si>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</si>
  <si>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</si>
  <si>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</si>
  <si>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</si>
  <si>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</si>
  <si>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</si>
  <si>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</si>
  <si>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</si>
  <si>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</si>
  <si>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</si>
  <si>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</si>
  <si>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</si>
  <si>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</si>
  <si>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</si>
  <si>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</si>
  <si>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</si>
  <si>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</si>
  <si>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</si>
  <si>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</si>
  <si>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</si>
  <si>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</si>
  <si>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</si>
  <si>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</si>
  <si>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</si>
  <si>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</si>
  <si>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</si>
  <si>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</si>
  <si>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</si>
  <si>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</si>
  <si>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</si>
  <si>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</si>
  <si>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</si>
  <si>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</si>
  <si>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</si>
  <si>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</si>
  <si>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</si>
  <si>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</si>
  <si>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</si>
  <si>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</si>
  <si>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</si>
  <si>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</si>
  <si>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</si>
  <si>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</si>
  <si>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</si>
  <si>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</si>
  <si>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</si>
  <si>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</si>
  <si>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</si>
  <si>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</si>
  <si>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</si>
  <si>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</si>
  <si>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</si>
  <si>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</si>
  <si>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</si>
  <si>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</si>
  <si>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</si>
  <si>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</si>
  <si>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</si>
  <si>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</si>
  <si>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</si>
  <si>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</si>
  <si>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</si>
  <si>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</si>
  <si>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</si>
  <si>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</si>
  <si>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</si>
  <si>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</si>
  <si>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</si>
  <si>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</si>
  <si>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</si>
  <si>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</si>
  <si>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</si>
  <si>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</si>
  <si>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</si>
  <si>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</si>
  <si>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</si>
  <si>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</si>
  <si>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</si>
  <si>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</si>
  <si>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</si>
  <si>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</si>
  <si>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</si>
  <si>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</si>
  <si>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</si>
  <si>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</si>
  <si>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</si>
  <si>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</si>
  <si>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</si>
  <si>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</si>
  <si>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</si>
  <si>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</si>
  <si>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</si>
  <si>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</si>
  <si>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</si>
  <si>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</si>
  <si>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</si>
  <si>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</si>
  <si>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</si>
  <si>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</si>
  <si>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</si>
  <si>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</si>
  <si>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</si>
  <si>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</si>
  <si>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</si>
  <si>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</si>
  <si>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</si>
  <si>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</si>
  <si>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</si>
  <si>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</si>
  <si>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</si>
  <si>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</si>
  <si>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</si>
  <si>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</si>
  <si>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</si>
  <si>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</si>
  <si>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</si>
  <si>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</si>
  <si>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</si>
  <si>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</si>
  <si>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</si>
  <si>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</si>
  <si>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</si>
  <si>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</si>
  <si>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</si>
  <si>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</si>
  <si>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</si>
  <si>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</si>
  <si>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</si>
  <si>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</si>
  <si>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</si>
  <si>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</si>
  <si>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</si>
  <si>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</si>
  <si>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</si>
  <si>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</si>
  <si>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</si>
  <si>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</si>
  <si>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</si>
  <si>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</si>
  <si>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</si>
  <si>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</si>
  <si>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</si>
  <si>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</si>
  <si>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</si>
  <si>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</si>
  <si>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</si>
  <si>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</si>
  <si>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</si>
  <si>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</si>
  <si>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</si>
  <si>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</si>
  <si>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</si>
  <si>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</si>
  <si>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</si>
  <si>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</si>
  <si>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</si>
  <si>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</si>
  <si>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</si>
  <si>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</si>
  <si>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</si>
  <si>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</si>
  <si>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</si>
  <si>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</si>
  <si>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</si>
  <si>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</si>
  <si>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</si>
  <si>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</si>
  <si>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</si>
  <si>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</si>
  <si>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</si>
  <si>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</si>
  <si>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</si>
  <si>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</si>
  <si>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</si>
  <si>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</si>
  <si>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</si>
  <si>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</si>
  <si>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</si>
  <si>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</si>
  <si>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</si>
  <si>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</si>
  <si>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</si>
  <si>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</si>
  <si>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</si>
  <si>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</si>
  <si>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</si>
  <si>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</si>
  <si>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</si>
  <si>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</si>
  <si>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</si>
  <si>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</si>
  <si>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</si>
  <si>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</si>
  <si>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</si>
  <si>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</si>
  <si>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</si>
  <si>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</si>
  <si>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</si>
  <si>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</si>
  <si>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</si>
  <si>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</si>
  <si>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</si>
  <si>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</si>
  <si>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</si>
  <si>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</si>
  <si>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</si>
  <si>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</si>
  <si>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</si>
  <si>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</si>
  <si>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</si>
  <si>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</si>
  <si>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</si>
  <si>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</si>
  <si>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</si>
  <si>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</si>
  <si>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</si>
  <si>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</si>
  <si>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</si>
  <si>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</si>
  <si>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</si>
  <si>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</si>
  <si>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</si>
  <si>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</si>
  <si>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</si>
  <si>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</si>
  <si>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</si>
  <si>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</si>
  <si>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</si>
  <si>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</si>
  <si>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</si>
  <si>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</si>
  <si>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</si>
  <si>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</si>
  <si>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</si>
  <si>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</si>
  <si>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</si>
  <si>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</si>
  <si>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</si>
  <si>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</si>
  <si>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</si>
  <si>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</si>
  <si>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</si>
  <si>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</si>
  <si>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</si>
  <si>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</si>
  <si>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</si>
  <si>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</si>
  <si>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</si>
  <si>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</si>
  <si>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</si>
  <si>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</si>
  <si>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</si>
  <si>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</si>
  <si>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</si>
  <si>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</si>
  <si>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</si>
  <si>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</si>
  <si>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</si>
  <si>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</si>
  <si>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</si>
  <si>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</si>
  <si>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</si>
  <si>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</si>
  <si>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</si>
  <si>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</si>
  <si>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</si>
  <si>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</si>
  <si>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</si>
  <si>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</si>
  <si>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</si>
  <si>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</si>
  <si>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</si>
  <si>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</si>
  <si>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</si>
  <si>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</si>
  <si>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</si>
  <si>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</si>
  <si>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</si>
  <si>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</si>
  <si>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</si>
  <si>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</si>
  <si>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</si>
  <si>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</si>
  <si>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</si>
  <si>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</si>
  <si>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</si>
  <si>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</si>
  <si>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</si>
  <si>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</si>
  <si>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</si>
  <si>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</si>
  <si>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</si>
  <si>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</si>
  <si>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</si>
  <si>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</si>
  <si>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</si>
  <si>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</si>
  <si>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</si>
  <si>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</si>
  <si>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</si>
  <si>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</si>
  <si>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</si>
  <si>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</si>
  <si>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</si>
  <si>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</si>
  <si>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</si>
  <si>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</si>
  <si>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</si>
  <si>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</si>
  <si>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</si>
  <si>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</si>
  <si>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</si>
  <si>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</si>
  <si>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</si>
  <si>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</si>
  <si>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</si>
  <si>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</si>
  <si>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</si>
  <si>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</si>
  <si>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</si>
  <si>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</si>
  <si>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</si>
  <si>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</si>
  <si>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</si>
  <si>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</si>
  <si>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</si>
  <si>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</si>
  <si>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</si>
  <si>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</si>
  <si>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</si>
  <si>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</si>
  <si>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</si>
  <si>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</si>
  <si>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</si>
  <si>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</si>
  <si>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</si>
  <si>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</si>
  <si>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</si>
  <si>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</si>
  <si>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</si>
  <si>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</si>
  <si>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</si>
  <si>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</si>
  <si>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</si>
  <si>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</si>
  <si>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</si>
  <si>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</si>
  <si>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</si>
  <si>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</si>
  <si>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</si>
  <si>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</si>
  <si>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</si>
  <si>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</si>
  <si>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</si>
  <si>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</si>
  <si>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</si>
  <si>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</si>
  <si>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</si>
  <si>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</si>
  <si>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</si>
  <si>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</si>
  <si>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</si>
  <si>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</si>
  <si>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</si>
  <si>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</si>
  <si>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</si>
  <si>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</si>
  <si>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</si>
  <si>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</si>
  <si>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</si>
  <si>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</si>
  <si>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</si>
  <si>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</si>
  <si>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</si>
  <si>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</si>
  <si>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</si>
  <si>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</si>
  <si>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</si>
  <si>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</si>
  <si>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</si>
  <si>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</si>
  <si>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</si>
  <si>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</si>
  <si>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</si>
  <si>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</si>
  <si>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</si>
  <si>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</si>
  <si>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</si>
  <si>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</si>
  <si>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</si>
  <si>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</si>
  <si>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</si>
  <si>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</si>
  <si>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</si>
  <si>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</si>
  <si>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</si>
  <si>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</si>
  <si>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</si>
  <si>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</si>
  <si>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</si>
  <si>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</si>
  <si>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</si>
  <si>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</si>
  <si>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</si>
  <si>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</si>
  <si>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</si>
  <si>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</si>
  <si>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</si>
  <si>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</si>
  <si>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</si>
  <si>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</si>
  <si>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</si>
  <si>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</si>
  <si>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</si>
  <si>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</si>
  <si>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</si>
  <si>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</si>
  <si>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</si>
  <si>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</si>
  <si>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</si>
  <si>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</si>
  <si>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</si>
  <si>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</si>
  <si>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</si>
  <si>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</si>
  <si>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</si>
  <si>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</si>
  <si>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</si>
  <si>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</si>
  <si>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</si>
  <si>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</si>
  <si>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</si>
  <si>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</si>
  <si>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</si>
  <si>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</si>
  <si>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</si>
  <si>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</si>
  <si>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</si>
  <si>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</si>
  <si>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</si>
  <si>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</si>
  <si>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</si>
  <si>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</si>
  <si>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</si>
  <si>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</si>
  <si>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</si>
  <si>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</si>
  <si>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</si>
  <si>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</si>
  <si>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</si>
  <si>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</si>
  <si>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</si>
  <si>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</si>
  <si>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</si>
  <si>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</si>
  <si>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</si>
  <si>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</si>
  <si>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</si>
  <si>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</si>
  <si>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</si>
  <si>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</si>
  <si>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</si>
  <si>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</si>
  <si>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</si>
  <si>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</si>
  <si>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</si>
  <si>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</si>
  <si>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</si>
  <si>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</si>
  <si>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</si>
  <si>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</si>
  <si>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</si>
  <si>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</si>
  <si>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</si>
  <si>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</si>
  <si>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</si>
  <si>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</si>
  <si>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</si>
  <si>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</si>
  <si>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</si>
  <si>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</si>
  <si>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</si>
  <si>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</si>
  <si>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</si>
  <si>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</si>
  <si>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</si>
  <si>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</si>
  <si>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</si>
  <si>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</si>
  <si>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</si>
  <si>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</si>
  <si>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</si>
  <si>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</si>
  <si>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</si>
  <si>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</si>
  <si>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</si>
  <si>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</si>
  <si>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</si>
  <si>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</si>
  <si>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</si>
  <si>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</si>
  <si>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</si>
  <si>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</si>
  <si>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</si>
  <si>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</si>
  <si>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</si>
  <si>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</si>
  <si>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</si>
  <si>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</si>
  <si>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</si>
  <si>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</si>
  <si>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</si>
  <si>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</si>
  <si>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</si>
  <si>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</si>
  <si>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</si>
  <si>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</si>
  <si>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</si>
  <si>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</si>
  <si>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</si>
  <si>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</si>
  <si>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</si>
  <si>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</si>
  <si>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</si>
  <si>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</si>
  <si>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</si>
  <si>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</si>
  <si>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</si>
  <si>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</si>
  <si>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</si>
  <si>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</si>
  <si>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</si>
  <si>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</si>
  <si>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</si>
  <si>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</si>
  <si>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</si>
  <si>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</si>
  <si>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</si>
  <si>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</si>
  <si>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</si>
  <si>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</si>
  <si>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</si>
  <si>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</si>
  <si>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</si>
  <si>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</si>
  <si>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</si>
  <si>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</si>
  <si>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</si>
  <si>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</si>
  <si>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</si>
  <si>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</si>
  <si>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</si>
  <si>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</si>
  <si>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</si>
  <si>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</si>
  <si>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</si>
  <si>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</si>
  <si>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</si>
  <si>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</si>
  <si>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</si>
  <si>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</si>
  <si>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</si>
  <si>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</si>
  <si>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</si>
  <si>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</si>
  <si>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</si>
  <si>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</si>
  <si>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</si>
  <si>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</si>
  <si>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</si>
  <si>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</si>
  <si>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</si>
  <si>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</si>
  <si>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</si>
  <si>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</si>
  <si>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</si>
  <si>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</si>
  <si>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</si>
  <si>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</si>
  <si>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</si>
  <si>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</si>
  <si>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</si>
  <si>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</si>
  <si>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</si>
  <si>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</si>
  <si>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</si>
  <si>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</si>
  <si>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</si>
  <si>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</si>
  <si>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</si>
  <si>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</si>
  <si>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</si>
  <si>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</si>
  <si>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</si>
  <si>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</si>
  <si>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</si>
  <si>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</si>
  <si>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</si>
  <si>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</si>
  <si>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</si>
  <si>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</si>
  <si>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</si>
  <si>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</si>
  <si>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</si>
  <si>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</si>
  <si>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</si>
  <si>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</si>
  <si>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</si>
  <si>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</si>
  <si>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</si>
  <si>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</si>
  <si>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</si>
  <si>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</si>
  <si>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</si>
  <si>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</si>
  <si>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</si>
  <si>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</si>
  <si>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</si>
  <si>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</si>
  <si>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</si>
  <si>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</si>
  <si>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</si>
  <si>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</si>
  <si>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</si>
  <si>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</si>
  <si>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</si>
  <si>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</si>
  <si>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</si>
  <si>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</si>
  <si>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</si>
  <si>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</si>
  <si>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</si>
  <si>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</si>
  <si>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</si>
  <si>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</si>
  <si>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</si>
  <si>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</si>
  <si>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</si>
  <si>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</si>
  <si>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</si>
  <si>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</si>
  <si>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</si>
  <si>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</si>
  <si>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</si>
  <si>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</si>
  <si>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</si>
  <si>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</si>
  <si>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</si>
  <si>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</si>
  <si>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</si>
  <si>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</si>
  <si>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</si>
  <si>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</si>
  <si>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</si>
  <si>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</si>
  <si>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</si>
  <si>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</si>
  <si>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</si>
  <si>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</si>
  <si>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</si>
  <si>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</si>
  <si>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</si>
  <si>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</si>
  <si>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</si>
  <si>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</si>
  <si>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</si>
  <si>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</si>
  <si>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</si>
  <si>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</si>
  <si>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</si>
  <si>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</si>
  <si>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</si>
  <si>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</si>
  <si>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</si>
  <si>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</si>
  <si>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</si>
  <si>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</si>
  <si>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</si>
  <si>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</si>
  <si>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</si>
  <si>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</si>
  <si>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</si>
  <si>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</si>
  <si>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</si>
  <si>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</si>
  <si>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</si>
  <si>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</si>
  <si>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</si>
  <si>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</si>
  <si>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</si>
  <si>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</si>
  <si>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</si>
  <si>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</si>
  <si>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</si>
  <si>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</si>
  <si>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</si>
  <si>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</si>
  <si>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</si>
  <si>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</si>
  <si>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</si>
  <si>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</si>
  <si>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</si>
  <si>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</si>
  <si>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</si>
  <si>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</si>
  <si>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</si>
  <si>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</si>
  <si>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</si>
  <si>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</si>
  <si>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</si>
  <si>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</si>
  <si>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</si>
  <si>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</si>
  <si>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</si>
  <si>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</si>
  <si>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</si>
  <si>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</si>
  <si>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</si>
  <si>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</si>
  <si>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</si>
  <si>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</si>
  <si>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</si>
  <si>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</si>
  <si>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</si>
  <si>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</si>
  <si>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</si>
  <si>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</si>
  <si>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</si>
  <si>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</si>
  <si>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</si>
  <si>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</si>
  <si>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</si>
  <si>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</si>
  <si>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</si>
  <si>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</si>
  <si>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</si>
  <si>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</si>
  <si>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</si>
  <si>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</si>
  <si>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</si>
  <si>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</si>
  <si>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</si>
  <si>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</si>
  <si>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</si>
  <si>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</si>
  <si>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</si>
  <si>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</si>
  <si>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</si>
  <si>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</si>
  <si>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</si>
  <si>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</si>
  <si>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</si>
  <si>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</si>
  <si>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</si>
  <si>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</si>
  <si>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</si>
  <si>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</si>
  <si>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</si>
  <si>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</si>
  <si>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</si>
  <si>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</si>
  <si>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</si>
  <si>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</si>
  <si>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</si>
  <si>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</si>
  <si>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</si>
  <si>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</si>
  <si>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</si>
  <si>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</si>
  <si>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</si>
  <si>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</si>
  <si>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</si>
  <si>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</si>
  <si>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</si>
  <si>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</si>
  <si>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</si>
  <si>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</si>
  <si>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</si>
  <si>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</si>
  <si>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</si>
  <si>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</si>
  <si>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</si>
  <si>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</si>
  <si>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</si>
  <si>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</si>
  <si>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</si>
  <si>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</si>
  <si>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</si>
  <si>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</si>
  <si>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</si>
  <si>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</si>
  <si>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</si>
  <si>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</si>
  <si>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</si>
  <si>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</si>
  <si>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</si>
  <si>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</si>
  <si>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</si>
  <si>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</si>
  <si>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</si>
  <si>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</si>
  <si>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</si>
  <si>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</si>
  <si>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</si>
  <si>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</si>
  <si>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</si>
  <si>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</si>
  <si>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</si>
  <si>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</si>
  <si>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</si>
  <si>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</si>
  <si>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</si>
  <si>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</si>
  <si>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</si>
  <si>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</si>
  <si>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</si>
  <si>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</si>
  <si>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</si>
  <si>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</si>
  <si>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</si>
  <si>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</si>
  <si>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</si>
  <si>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</si>
  <si>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</si>
  <si>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</si>
  <si>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</si>
  <si>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</si>
  <si>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</si>
  <si>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</si>
  <si>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</si>
  <si>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</si>
  <si>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</si>
  <si>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</si>
  <si>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</si>
  <si>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</si>
  <si>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</si>
  <si>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</si>
  <si>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</si>
  <si>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</si>
  <si>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</si>
  <si>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</si>
  <si>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</si>
  <si>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</si>
  <si>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</si>
  <si>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</si>
  <si>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</si>
  <si>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</si>
  <si>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</si>
  <si>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</si>
  <si>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</si>
  <si>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</si>
  <si>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</si>
  <si>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</si>
  <si>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</si>
  <si>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</si>
  <si>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</si>
  <si>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</si>
  <si>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</si>
  <si>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</si>
  <si>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</si>
  <si>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</si>
  <si>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</si>
  <si>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</si>
  <si>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</si>
  <si>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</si>
  <si>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</si>
  <si>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</si>
  <si>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</si>
  <si>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</si>
  <si>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</si>
  <si>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</si>
  <si>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</si>
  <si>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</si>
  <si>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</si>
  <si>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</si>
  <si>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</si>
  <si>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</si>
  <si>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</si>
  <si>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</si>
  <si>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</si>
  <si>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</si>
  <si>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</si>
  <si>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</si>
  <si>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</si>
  <si>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</si>
  <si>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</si>
  <si>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</si>
  <si>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</si>
  <si>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</si>
  <si>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</si>
  <si>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</si>
  <si>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</si>
  <si>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</si>
  <si>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</si>
  <si>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</si>
  <si>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</si>
  <si>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</si>
  <si>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</si>
  <si>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</si>
  <si>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</si>
  <si>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</si>
  <si>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</si>
  <si>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</si>
  <si>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</si>
  <si>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</si>
  <si>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</si>
  <si>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</si>
  <si>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</si>
  <si>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</si>
  <si>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</si>
  <si>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</si>
  <si>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</si>
  <si>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</si>
  <si>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</si>
  <si>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</si>
  <si>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</si>
  <si>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</si>
  <si>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</si>
  <si>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</si>
  <si>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</si>
  <si>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</si>
  <si>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</si>
  <si>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</si>
  <si>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</si>
  <si>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</si>
  <si>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</si>
  <si>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</si>
  <si>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</si>
  <si>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</si>
  <si>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</si>
  <si>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</si>
  <si>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</si>
  <si>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</si>
  <si>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</si>
  <si>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</si>
  <si>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</si>
  <si>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</si>
  <si>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</si>
  <si>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</si>
  <si>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</si>
  <si>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</si>
  <si>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</si>
  <si>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</si>
  <si>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</si>
  <si>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</si>
  <si>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</si>
  <si>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</si>
  <si>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</si>
  <si>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</si>
  <si>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</si>
  <si>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</si>
  <si>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</si>
  <si>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</si>
  <si>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</si>
  <si>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</si>
  <si>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</si>
  <si>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</si>
  <si>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</si>
  <si>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</si>
  <si>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</si>
  <si>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</si>
  <si>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</si>
  <si>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</si>
  <si>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</si>
  <si>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</si>
  <si>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</si>
  <si>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</si>
  <si>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</si>
  <si>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</si>
  <si>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</si>
  <si>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</si>
  <si>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</si>
  <si>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</si>
  <si>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</si>
  <si>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</si>
  <si>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</si>
  <si>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</si>
  <si>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</si>
  <si>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</si>
  <si>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</si>
  <si>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</si>
  <si>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</si>
  <si>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</si>
  <si>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</si>
  <si>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</si>
  <si>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</si>
  <si>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</si>
  <si>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</si>
  <si>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</si>
  <si>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</si>
  <si>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</si>
  <si>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</si>
  <si>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</si>
  <si>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</si>
  <si>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</si>
  <si>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</si>
  <si>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</si>
  <si>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</si>
  <si>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</si>
  <si>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</si>
  <si>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</si>
  <si>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</si>
  <si>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</si>
  <si>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</si>
  <si>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</si>
  <si>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</si>
  <si>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</si>
  <si>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</si>
  <si>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</si>
  <si>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</si>
  <si>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</si>
  <si>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</si>
  <si>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</si>
  <si>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</si>
  <si>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</si>
  <si>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</si>
  <si>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</si>
  <si>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</si>
  <si>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</si>
  <si>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</si>
  <si>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</si>
  <si>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</si>
  <si>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</si>
  <si>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</si>
  <si>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</si>
  <si>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</si>
  <si>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</si>
  <si>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</si>
  <si>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</si>
  <si>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</si>
  <si>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</si>
  <si>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</si>
  <si>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</si>
  <si>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</si>
  <si>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</si>
  <si>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</si>
  <si>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</si>
  <si>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</si>
  <si>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</si>
  <si>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</si>
  <si>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</si>
  <si>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</si>
  <si>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</si>
  <si>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</si>
  <si>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</si>
  <si>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</si>
  <si>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</si>
  <si>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</si>
  <si>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</si>
  <si>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</si>
  <si>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</si>
  <si>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</si>
  <si>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</si>
  <si>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</si>
  <si>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</si>
  <si>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</si>
  <si>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</si>
  <si>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</si>
  <si>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</si>
  <si>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</si>
  <si>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</si>
  <si>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</si>
  <si>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</si>
  <si>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</si>
  <si>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</si>
  <si>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</si>
  <si>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</si>
  <si>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</si>
  <si>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</si>
  <si>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</si>
  <si>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</si>
  <si>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</si>
  <si>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</si>
  <si>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</si>
  <si>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</si>
  <si>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</si>
  <si>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</si>
  <si>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</si>
  <si>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</si>
  <si>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</si>
  <si>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</si>
  <si>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</si>
  <si>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</si>
  <si>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</si>
  <si>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</si>
  <si>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</si>
  <si>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</si>
  <si>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</si>
  <si>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</si>
  <si>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</si>
  <si>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</si>
  <si>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</si>
  <si>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</si>
  <si>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</si>
  <si>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</si>
  <si>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</si>
  <si>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</si>
  <si>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</si>
  <si>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</si>
  <si>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</si>
  <si>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</si>
  <si>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</si>
  <si>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</si>
  <si>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</si>
  <si>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</si>
  <si>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</si>
  <si>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</si>
  <si>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</si>
  <si>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</si>
  <si>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</si>
  <si>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</si>
  <si>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</si>
  <si>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</si>
  <si>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</si>
  <si>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</si>
  <si>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</si>
  <si>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</si>
  <si>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</si>
  <si>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</si>
  <si>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</si>
  <si>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</si>
  <si>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</si>
  <si>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</si>
  <si>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</si>
  <si>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</si>
  <si>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</si>
  <si>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</si>
  <si>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</si>
  <si>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</si>
  <si>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</si>
  <si>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</si>
  <si>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</si>
  <si>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</si>
  <si>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</si>
  <si>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</si>
  <si>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</si>
  <si>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</si>
  <si>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</si>
  <si>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</si>
  <si>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</si>
  <si>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</si>
  <si>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</si>
  <si>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</si>
  <si>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</si>
  <si>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</si>
  <si>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</si>
  <si>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</si>
  <si>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</si>
  <si>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</si>
  <si>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</si>
  <si>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</si>
  <si>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</si>
  <si>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</si>
  <si>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</si>
  <si>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</si>
  <si>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</si>
  <si>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</si>
  <si>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</si>
  <si>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</si>
  <si>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</si>
  <si>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</si>
  <si>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</si>
  <si>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</si>
  <si>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</si>
  <si>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</si>
  <si>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</si>
  <si>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</si>
  <si>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</si>
  <si>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</si>
  <si>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</si>
  <si>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</si>
  <si>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</si>
  <si>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</si>
  <si>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</si>
  <si>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</si>
  <si>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</si>
  <si>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</si>
  <si>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</si>
  <si>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</si>
  <si>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</si>
  <si>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</si>
  <si>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</si>
  <si>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</si>
  <si>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</si>
  <si>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</si>
  <si>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</si>
  <si>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</si>
  <si>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</si>
  <si>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</si>
  <si>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</si>
  <si>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</si>
  <si>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</si>
  <si>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</si>
  <si>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</si>
  <si>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</si>
  <si>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</si>
  <si>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</si>
  <si>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</si>
  <si>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</si>
  <si>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</si>
  <si>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</si>
  <si>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</si>
  <si>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</si>
  <si>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</si>
  <si>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</si>
  <si>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</si>
  <si>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</si>
  <si>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</si>
  <si>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</si>
  <si>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</si>
  <si>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</si>
  <si>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</si>
  <si>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</si>
  <si>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</si>
  <si>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</si>
  <si>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</si>
  <si>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</si>
  <si>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</si>
  <si>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</si>
  <si>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</si>
  <si>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</si>
  <si>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</si>
  <si>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</si>
  <si>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</si>
  <si>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</si>
  <si>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</si>
  <si>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</si>
  <si>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</si>
  <si>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</si>
  <si>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</si>
  <si>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</si>
  <si>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</si>
  <si>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</si>
  <si>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</si>
  <si>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</si>
  <si>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</si>
  <si>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</si>
  <si>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</si>
  <si>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</si>
  <si>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</si>
  <si>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</si>
  <si>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</si>
  <si>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</si>
  <si>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</si>
  <si>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</si>
  <si>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</si>
  <si>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</si>
  <si>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</si>
  <si>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</si>
  <si>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</si>
  <si>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</si>
  <si>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</si>
  <si>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</si>
  <si>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</si>
  <si>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</si>
  <si>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</si>
  <si>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</si>
  <si>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</si>
  <si>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</si>
  <si>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</si>
  <si>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</si>
  <si>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</si>
  <si>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</si>
  <si>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</si>
  <si>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</si>
  <si>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</si>
  <si>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</si>
  <si>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</si>
  <si>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</si>
  <si>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</si>
  <si>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</si>
  <si>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</si>
  <si>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</si>
  <si>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</si>
  <si>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</si>
  <si>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</si>
  <si>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</si>
  <si>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</si>
  <si>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</si>
  <si>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</si>
  <si>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</si>
  <si>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</si>
  <si>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</si>
  <si>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</si>
  <si>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</si>
  <si>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</si>
  <si>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</si>
  <si>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</si>
  <si>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</si>
  <si>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</si>
  <si>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</si>
  <si>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</si>
  <si>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</si>
  <si>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</si>
  <si>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</si>
  <si>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</si>
  <si>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</si>
  <si>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</si>
  <si>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</si>
  <si>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</si>
  <si>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</si>
  <si>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</si>
  <si>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</si>
  <si>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</si>
  <si>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</si>
  <si>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</si>
  <si>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</si>
  <si>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</si>
  <si>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</si>
  <si>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</si>
  <si>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</si>
  <si>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</si>
  <si>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</si>
  <si>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</si>
  <si>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</si>
  <si>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</si>
  <si>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</si>
  <si>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</si>
  <si>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</si>
  <si>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</si>
  <si>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</si>
  <si>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</si>
  <si>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</si>
  <si>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</si>
  <si>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</si>
  <si>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</si>
  <si>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</si>
  <si>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</si>
  <si>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</si>
  <si>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</si>
  <si>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</si>
  <si>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</si>
  <si>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</si>
  <si>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</si>
  <si>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</si>
  <si>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</si>
  <si>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</si>
  <si>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</si>
  <si>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</si>
  <si>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</si>
  <si>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</si>
  <si>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</si>
  <si>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</si>
  <si>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</si>
  <si>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</si>
  <si>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</si>
  <si>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</si>
  <si>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</si>
  <si>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</si>
  <si>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</si>
  <si>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</si>
  <si>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</si>
  <si>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</si>
  <si>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</si>
  <si>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</si>
  <si>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</si>
  <si>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</si>
  <si>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</si>
  <si>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</si>
  <si>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</si>
  <si>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</si>
  <si>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</si>
  <si>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</si>
  <si>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</si>
  <si>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</si>
  <si>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</si>
  <si>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</si>
  <si>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</si>
  <si>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</si>
  <si>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</si>
  <si>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</si>
  <si>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</si>
  <si>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</si>
  <si>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</si>
  <si>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</si>
  <si>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</si>
  <si>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</si>
  <si>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</si>
  <si>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</si>
  <si>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</si>
  <si>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</si>
  <si>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</si>
  <si>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</si>
  <si>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</si>
  <si>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</si>
  <si>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</si>
  <si>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</si>
  <si>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</si>
  <si>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</si>
  <si>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</si>
  <si>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</si>
  <si>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</si>
  <si>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</si>
  <si>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</si>
  <si>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</si>
  <si>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</si>
  <si>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</si>
  <si>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</si>
  <si>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</si>
  <si>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</si>
  <si>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</si>
  <si>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</si>
  <si>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</si>
  <si>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</si>
  <si>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</si>
  <si>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</si>
  <si>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</si>
  <si>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</si>
  <si>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</si>
  <si>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</si>
  <si>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</si>
  <si>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</si>
  <si>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</si>
  <si>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</si>
  <si>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</si>
  <si>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</si>
  <si>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</si>
  <si>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</si>
  <si>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</si>
  <si>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</si>
  <si>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</si>
  <si>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</si>
  <si>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</si>
  <si>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</si>
  <si>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</si>
  <si>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</si>
  <si>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</si>
  <si>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</si>
  <si>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</si>
  <si>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</si>
  <si>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</si>
  <si>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</si>
  <si>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</si>
  <si>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</si>
  <si>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</si>
  <si>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</si>
  <si>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</si>
  <si>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</si>
  <si>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</si>
  <si>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</si>
  <si>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</si>
  <si>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</si>
  <si>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</si>
  <si>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</si>
  <si>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</si>
  <si>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</si>
  <si>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</si>
  <si>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</si>
  <si>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</si>
  <si>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</si>
  <si>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</si>
  <si>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</si>
  <si>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</si>
  <si>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</si>
  <si>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</si>
  <si>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</si>
  <si>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</si>
  <si>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</si>
  <si>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</si>
  <si>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</si>
  <si>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</si>
  <si>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</si>
  <si>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</si>
  <si>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</si>
  <si>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</si>
  <si>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</si>
  <si>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</si>
  <si>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</si>
  <si>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</si>
  <si>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</si>
  <si>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</si>
  <si>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</si>
  <si>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</si>
  <si>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</si>
  <si>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</si>
  <si>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</si>
  <si>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</si>
  <si>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</si>
  <si>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</si>
  <si>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</si>
  <si>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</si>
  <si>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</si>
  <si>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</si>
  <si>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</si>
  <si>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</si>
  <si>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</si>
  <si>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</si>
  <si>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</si>
  <si>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</si>
  <si>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</si>
  <si>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</si>
  <si>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</si>
  <si>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</si>
  <si>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</si>
  <si>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</si>
  <si>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</si>
  <si>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</si>
  <si>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</si>
  <si>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</si>
  <si>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</si>
  <si>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</si>
  <si>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</si>
  <si>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</si>
  <si>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</si>
  <si>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</si>
  <si>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</si>
  <si>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</si>
  <si>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</si>
  <si>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</si>
  <si>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</si>
  <si>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</si>
  <si>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</si>
  <si>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</si>
  <si>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</si>
  <si>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</si>
  <si>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</si>
  <si>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</si>
  <si>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</si>
  <si>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</si>
  <si>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</si>
  <si>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</si>
  <si>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</si>
  <si>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</si>
  <si>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</si>
  <si>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</si>
  <si>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</si>
  <si>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</si>
  <si>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</si>
  <si>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</si>
  <si>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</si>
  <si>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</si>
  <si>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</si>
  <si>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</si>
  <si>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</si>
  <si>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</si>
  <si>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</si>
  <si>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</si>
  <si>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</si>
  <si>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</si>
  <si>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</si>
  <si>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</si>
  <si>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</si>
  <si>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</si>
  <si>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</si>
  <si>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</si>
  <si>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</si>
  <si>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</si>
  <si>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</si>
  <si>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</si>
  <si>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</si>
  <si>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</si>
  <si>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</si>
  <si>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</si>
  <si>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</si>
  <si>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</si>
  <si>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</si>
  <si>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</si>
  <si>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</si>
  <si>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</si>
  <si>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</si>
  <si>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</si>
  <si>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</si>
  <si>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</si>
  <si>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</si>
  <si>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</si>
  <si>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</si>
  <si>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</si>
  <si>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</si>
  <si>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</si>
  <si>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</si>
  <si>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</si>
  <si>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</si>
  <si>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</si>
  <si>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</si>
  <si>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</si>
  <si>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</si>
  <si>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</si>
  <si>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</si>
  <si>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</si>
  <si>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</si>
  <si>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</si>
  <si>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</si>
  <si>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</si>
  <si>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</si>
  <si>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</si>
  <si>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</si>
  <si>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</si>
  <si>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</si>
  <si>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</si>
  <si>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</si>
  <si>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</si>
  <si>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</si>
  <si>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</si>
  <si>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</si>
  <si>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</si>
  <si>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</si>
  <si>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</si>
  <si>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</si>
  <si>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</si>
  <si>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</si>
  <si>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</si>
  <si>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</si>
  <si>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</si>
  <si>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</si>
  <si>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</si>
  <si>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</si>
  <si>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</si>
  <si>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</si>
  <si>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</si>
  <si>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</si>
  <si>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</si>
  <si>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</si>
  <si>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</si>
  <si>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</si>
  <si>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</si>
  <si>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</si>
  <si>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</si>
  <si>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</si>
  <si>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</si>
  <si>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</si>
  <si>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</si>
  <si>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</si>
  <si>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</si>
  <si>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</si>
  <si>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</si>
  <si>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</si>
  <si>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</si>
  <si>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</si>
  <si>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</si>
  <si>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</si>
  <si>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</si>
  <si>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</si>
  <si>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</si>
  <si>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</si>
  <si>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</si>
  <si>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</si>
  <si>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</si>
  <si>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</si>
  <si>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</si>
  <si>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</si>
  <si>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</si>
  <si>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</si>
  <si>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</si>
  <si>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</si>
  <si>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</si>
  <si>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</si>
  <si>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</si>
  <si>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</si>
  <si>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</si>
  <si>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</si>
  <si>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</si>
  <si>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</si>
  <si>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</si>
  <si>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</si>
  <si>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</si>
  <si>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</si>
  <si>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</si>
  <si>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</si>
  <si>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</si>
  <si>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</si>
  <si>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</si>
  <si>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</si>
  <si>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</si>
  <si>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</si>
  <si>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</si>
  <si>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</si>
  <si>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</si>
  <si>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</si>
  <si>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</si>
  <si>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</si>
  <si>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</si>
  <si>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</si>
  <si>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</si>
  <si>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</si>
  <si>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</si>
  <si>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</si>
  <si>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</si>
  <si>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</si>
  <si>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</si>
  <si>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</si>
  <si>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</si>
  <si>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</si>
  <si>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</si>
  <si>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</si>
  <si>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</si>
  <si>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</si>
  <si>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</si>
  <si>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</si>
  <si>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</si>
  <si>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</si>
  <si>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</si>
  <si>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</si>
  <si>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</si>
  <si>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</si>
  <si>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</si>
  <si>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</si>
  <si>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</si>
  <si>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</si>
  <si>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</si>
  <si>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</si>
  <si>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</si>
  <si>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</si>
  <si>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</si>
  <si>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</si>
  <si>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</si>
  <si>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</si>
  <si>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</si>
  <si>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</si>
  <si>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</si>
  <si>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</si>
  <si>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</si>
  <si>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</si>
  <si>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</si>
  <si>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</si>
  <si>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</si>
  <si>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</si>
  <si>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</si>
  <si>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</si>
  <si>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</si>
  <si>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</si>
  <si>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</si>
  <si>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</si>
  <si>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</si>
  <si>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</si>
  <si>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</si>
  <si>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</si>
  <si>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</si>
  <si>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</si>
  <si>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</si>
  <si>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</si>
  <si>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</si>
  <si>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</si>
  <si>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</si>
  <si>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</si>
  <si>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</si>
  <si>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</si>
  <si>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</si>
  <si>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</si>
  <si>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</si>
  <si>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</si>
  <si>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</si>
  <si>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</si>
  <si>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</si>
  <si>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</si>
  <si>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</si>
  <si>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</si>
  <si>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</si>
  <si>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</si>
  <si>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</si>
  <si>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</si>
  <si>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</si>
  <si>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</si>
  <si>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</si>
  <si>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</si>
  <si>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</si>
  <si>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</si>
  <si>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</si>
  <si>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</si>
  <si>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</si>
  <si>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</si>
  <si>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</si>
  <si>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</si>
  <si>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</si>
  <si>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</si>
  <si>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</si>
  <si>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</si>
  <si>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</si>
  <si>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</si>
  <si>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</si>
  <si>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</si>
  <si>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</si>
  <si>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</si>
  <si>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</si>
  <si>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</si>
  <si>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</si>
  <si>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</si>
  <si>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</si>
  <si>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</si>
  <si>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</si>
  <si>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</si>
  <si>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</si>
  <si>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</si>
  <si>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</si>
  <si>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</si>
  <si>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</si>
  <si>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</si>
  <si>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</si>
  <si>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</si>
  <si>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</si>
  <si>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</si>
  <si>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</si>
  <si>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</si>
  <si>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</si>
  <si>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</si>
  <si>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</si>
  <si>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</si>
  <si>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</si>
  <si>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</si>
  <si>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</si>
  <si>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</si>
  <si>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</si>
  <si>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</si>
  <si>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</si>
  <si>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</si>
  <si>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</si>
  <si>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</si>
  <si>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</si>
  <si>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</si>
  <si>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</si>
  <si>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</si>
  <si>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</si>
  <si>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</si>
  <si>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</si>
  <si>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</si>
  <si>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</si>
  <si>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</si>
  <si>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</si>
  <si>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</si>
  <si>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</si>
  <si>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</si>
  <si>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</si>
  <si>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</si>
  <si>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</si>
  <si>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</si>
  <si>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</si>
  <si>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</si>
  <si>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</si>
  <si>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</si>
  <si>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</si>
  <si>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</si>
  <si>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</si>
  <si>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</si>
  <si>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</si>
  <si>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</si>
  <si>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</si>
  <si>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</si>
  <si>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</si>
  <si>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</si>
  <si>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</si>
  <si>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</si>
  <si>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</si>
  <si>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</si>
  <si>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</si>
  <si>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</si>
  <si>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</si>
  <si>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</si>
  <si>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</si>
  <si>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</si>
  <si>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</si>
  <si>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</si>
  <si>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</si>
  <si>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</si>
  <si>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</si>
  <si>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</si>
  <si>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</si>
  <si>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</si>
  <si>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</si>
  <si>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</si>
  <si>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</si>
  <si>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</si>
  <si>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</si>
  <si>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</si>
  <si>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</si>
  <si>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</si>
  <si>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</si>
  <si>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</si>
  <si>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</si>
  <si>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</si>
  <si>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</si>
  <si>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</si>
  <si>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</si>
  <si>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</si>
  <si>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</si>
  <si>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</si>
  <si>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</si>
  <si>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</si>
  <si>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</si>
  <si>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</si>
  <si>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</si>
  <si>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</si>
  <si>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</si>
  <si>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</si>
  <si>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</si>
  <si>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</si>
  <si>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</si>
  <si>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</si>
  <si>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</si>
  <si>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</si>
  <si>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</si>
  <si>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</si>
  <si>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</si>
  <si>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</si>
  <si>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</si>
  <si>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</si>
  <si>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</si>
  <si>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</si>
  <si>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</si>
  <si>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</si>
  <si>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</si>
  <si>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</si>
  <si>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</si>
  <si>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</si>
  <si>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</si>
  <si>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</si>
  <si>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</si>
  <si>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</si>
  <si>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</si>
  <si>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</si>
  <si>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</si>
  <si>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</si>
  <si>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</si>
  <si>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</si>
  <si>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</si>
  <si>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</si>
  <si>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</si>
  <si>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</si>
  <si>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</si>
  <si>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</si>
  <si>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</si>
  <si>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</si>
  <si>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</si>
  <si>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</si>
  <si>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</si>
  <si>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</si>
  <si>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</si>
  <si>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</si>
  <si>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</si>
  <si>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</si>
  <si>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</si>
  <si>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</si>
  <si>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</si>
  <si>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</si>
  <si>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</si>
  <si>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</si>
  <si>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</si>
  <si>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</si>
  <si>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</si>
  <si>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</si>
  <si>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</si>
  <si>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</si>
  <si>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</si>
  <si>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</si>
  <si>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</si>
  <si>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</si>
  <si>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</si>
  <si>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</si>
  <si>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</si>
  <si>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</si>
  <si>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</si>
  <si>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</si>
  <si>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</si>
  <si>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</si>
  <si>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</si>
  <si>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</si>
  <si>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</si>
  <si>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</si>
  <si>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</si>
  <si>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</si>
  <si>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</si>
  <si>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</si>
  <si>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</si>
  <si>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</si>
  <si>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</si>
  <si>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</si>
  <si>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</si>
  <si>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</si>
  <si>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</si>
  <si>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</si>
  <si>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</si>
  <si>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</si>
  <si>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</si>
  <si>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</si>
  <si>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</si>
  <si>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</si>
  <si>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</si>
  <si>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</si>
  <si>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</si>
  <si>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</si>
  <si>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</si>
  <si>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</si>
  <si>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</si>
  <si>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</si>
  <si>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</si>
  <si>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</si>
  <si>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</si>
  <si>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</si>
  <si>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</si>
  <si>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</si>
  <si>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</si>
  <si>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</si>
  <si>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</si>
  <si>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</si>
  <si>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</si>
  <si>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</si>
  <si>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</si>
  <si>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</si>
  <si>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</si>
  <si>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</si>
  <si>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</si>
  <si>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</si>
  <si>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</si>
  <si>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</si>
  <si>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</si>
  <si>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</si>
  <si>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</si>
  <si>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</si>
  <si>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</si>
  <si>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</si>
  <si>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</si>
  <si>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</si>
  <si>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</si>
  <si>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</si>
  <si>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</si>
  <si>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</si>
  <si>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</si>
  <si>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</si>
  <si>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</si>
  <si>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</si>
  <si>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</si>
  <si>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</si>
  <si>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</si>
  <si>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</si>
  <si>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</si>
  <si>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</si>
  <si>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</si>
  <si>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</si>
  <si>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</si>
  <si>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</si>
  <si>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</si>
  <si>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</si>
  <si>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</si>
  <si>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</si>
  <si>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</si>
  <si>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</si>
  <si>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</si>
  <si>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</si>
  <si>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</si>
  <si>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</si>
  <si>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</si>
  <si>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</si>
  <si>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</si>
  <si>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</si>
  <si>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</si>
  <si>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</si>
  <si>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</si>
  <si>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</si>
  <si>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</si>
  <si>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</si>
  <si>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</si>
  <si>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</si>
  <si>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</si>
  <si>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</si>
  <si>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</si>
  <si>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</si>
  <si>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</si>
  <si>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</si>
  <si>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</si>
  <si>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</si>
  <si>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</si>
  <si>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</si>
  <si>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</si>
  <si>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</si>
  <si>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</si>
  <si>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</si>
  <si>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</si>
  <si>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</si>
  <si>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</si>
  <si>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</si>
  <si>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</si>
  <si>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</si>
  <si>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</si>
  <si>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</si>
  <si>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</si>
  <si>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</si>
  <si>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</si>
  <si>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</si>
  <si>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</si>
  <si>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</si>
  <si>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</si>
  <si>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</si>
  <si>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</si>
  <si>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</si>
  <si>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</si>
  <si>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</si>
  <si>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</si>
  <si>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</si>
  <si>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</si>
  <si>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</si>
  <si>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</si>
  <si>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</si>
  <si>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</si>
  <si>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</si>
  <si>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</si>
  <si>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</si>
  <si>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</si>
  <si>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</si>
  <si>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</si>
  <si>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</si>
  <si>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</si>
  <si>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</si>
  <si>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</si>
  <si>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</si>
  <si>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</si>
  <si>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</si>
  <si>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</si>
  <si>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</si>
  <si>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</si>
  <si>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</si>
  <si>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</si>
  <si>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</si>
  <si>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</si>
  <si>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</si>
  <si>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</si>
  <si>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</si>
  <si>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</si>
  <si>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</si>
  <si>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</si>
  <si>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</si>
  <si>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</si>
  <si>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</si>
  <si>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</si>
  <si>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</si>
  <si>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</si>
  <si>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</si>
  <si>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</si>
  <si>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</si>
  <si>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</si>
  <si>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</si>
  <si>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</si>
  <si>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</si>
  <si>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</si>
  <si>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</si>
  <si>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</si>
  <si>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</si>
  <si>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</si>
  <si>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</si>
  <si>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</si>
  <si>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</si>
  <si>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</si>
  <si>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</si>
  <si>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</si>
  <si>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</si>
  <si>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</si>
  <si>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</si>
  <si>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</si>
  <si>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</si>
  <si>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</si>
  <si>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</si>
  <si>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</si>
  <si>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</si>
  <si>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</si>
  <si>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</si>
  <si>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</si>
  <si>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</si>
  <si>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</si>
  <si>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</si>
  <si>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</si>
  <si>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</si>
  <si>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</si>
  <si>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</si>
  <si>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</si>
  <si>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</si>
  <si>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</si>
  <si>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</si>
  <si>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</si>
  <si>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</si>
  <si>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</si>
  <si>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</si>
  <si>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</si>
  <si>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</si>
  <si>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</si>
  <si>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</si>
  <si>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</si>
  <si>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</si>
  <si>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</si>
  <si>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</si>
  <si>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</si>
  <si>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</si>
  <si>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</si>
  <si>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</si>
  <si>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</si>
  <si>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</si>
  <si>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</si>
  <si>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</si>
  <si>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</si>
  <si>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</si>
  <si>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</si>
  <si>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</si>
  <si>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</si>
  <si>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</si>
  <si>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</si>
  <si>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</si>
  <si>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</si>
  <si>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</si>
  <si>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</si>
  <si>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</si>
  <si>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</si>
  <si>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</si>
  <si>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</si>
  <si>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</si>
  <si>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</si>
  <si>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</si>
  <si>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</si>
  <si>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</si>
  <si>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</si>
  <si>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</si>
  <si>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</si>
  <si>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</si>
  <si>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</si>
  <si>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</si>
  <si>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</si>
  <si>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</si>
  <si>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</si>
  <si>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</si>
  <si>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</si>
  <si>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</si>
  <si>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</si>
  <si>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</si>
  <si>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</si>
  <si>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</si>
  <si>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</si>
  <si>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</si>
  <si>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</si>
  <si>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</si>
  <si>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</si>
  <si>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</si>
  <si>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</si>
  <si>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</si>
  <si>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</si>
  <si>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</si>
  <si>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</si>
  <si>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</si>
  <si>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</si>
  <si>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</si>
  <si>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</si>
  <si>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</si>
  <si>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</si>
  <si>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</si>
  <si>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</si>
  <si>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</si>
  <si>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</si>
  <si>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</si>
  <si>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</si>
  <si>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</si>
  <si>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</si>
  <si>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</si>
  <si>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</si>
  <si>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</si>
  <si>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</si>
  <si>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</si>
  <si>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</si>
  <si>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</si>
  <si>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</si>
  <si>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</si>
  <si>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</si>
  <si>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</si>
  <si>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</si>
  <si>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</si>
  <si>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</si>
  <si>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</si>
  <si>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</si>
  <si>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</si>
  <si>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</si>
  <si>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</si>
  <si>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</si>
  <si>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</si>
  <si>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</si>
  <si>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</si>
  <si>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</si>
  <si>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</si>
  <si>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</si>
  <si>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</si>
  <si>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</si>
  <si>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</si>
  <si>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</si>
  <si>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</si>
  <si>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</si>
  <si>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</si>
  <si>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</si>
  <si>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</si>
  <si>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</si>
  <si>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</si>
  <si>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</si>
  <si>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</si>
  <si>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</si>
  <si>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</si>
  <si>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</si>
  <si>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</si>
  <si>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</si>
  <si>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</si>
  <si>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</si>
  <si>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</si>
  <si>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</si>
  <si>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</si>
  <si>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</si>
  <si>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</si>
  <si>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</si>
  <si>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</si>
  <si>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</si>
  <si>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</si>
  <si>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</si>
  <si>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</si>
  <si>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</si>
  <si>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</si>
  <si>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</si>
  <si>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</si>
  <si>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</si>
  <si>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</si>
  <si>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</si>
  <si>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</si>
  <si>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</si>
  <si>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</si>
  <si>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</si>
  <si>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</si>
  <si>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</si>
  <si>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</si>
  <si>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</si>
  <si>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</si>
  <si>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</si>
  <si>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</si>
  <si>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</si>
  <si>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</si>
  <si>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</si>
  <si>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</si>
  <si>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</si>
  <si>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</si>
  <si>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</si>
  <si>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</si>
  <si>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</si>
  <si>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</si>
  <si>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</si>
  <si>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</si>
  <si>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</si>
  <si>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</si>
  <si>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</si>
  <si>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</si>
  <si>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</si>
  <si>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</si>
  <si>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</si>
  <si>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</si>
  <si>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</si>
  <si>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</si>
  <si>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</si>
  <si>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</si>
  <si>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</si>
  <si>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</si>
  <si>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</si>
  <si>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</si>
  <si>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</si>
  <si>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</si>
  <si>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</si>
  <si>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</si>
  <si>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</si>
  <si>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</si>
  <si>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</si>
  <si>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</si>
  <si>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</si>
  <si>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</si>
  <si>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</si>
  <si>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</si>
  <si>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</si>
  <si>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</si>
  <si>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</si>
  <si>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</si>
  <si>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</si>
  <si>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</si>
  <si>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</si>
  <si>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</si>
  <si>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</si>
  <si>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</si>
  <si>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</si>
  <si>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</si>
  <si>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</si>
  <si>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</si>
  <si>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</si>
  <si>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</si>
  <si>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</si>
  <si>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</si>
  <si>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</si>
  <si>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</si>
  <si>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</si>
  <si>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</si>
  <si>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</si>
  <si>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</si>
  <si>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</si>
  <si>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</si>
  <si>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</si>
  <si>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</si>
  <si>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</si>
  <si>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</si>
  <si>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</si>
  <si>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</si>
  <si>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</si>
  <si>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</si>
  <si>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</si>
  <si>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</si>
  <si>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</si>
  <si>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</si>
  <si>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</si>
  <si>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</si>
  <si>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</si>
  <si>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</si>
  <si>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</si>
  <si>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</si>
  <si>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</si>
  <si>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</si>
  <si>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</si>
  <si>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</si>
  <si>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</si>
  <si>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</si>
  <si>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</si>
  <si>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</si>
  <si>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</si>
  <si>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</si>
  <si>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</si>
  <si>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</si>
  <si>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</si>
  <si>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</si>
  <si>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</si>
  <si>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</si>
  <si>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</si>
  <si>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</si>
  <si>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</si>
  <si>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</si>
  <si>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</si>
  <si>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</si>
  <si>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</si>
  <si>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</si>
  <si>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</si>
  <si>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</si>
  <si>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</si>
  <si>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</si>
  <si>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</si>
  <si>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</si>
  <si>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</si>
  <si>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</si>
  <si>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</si>
  <si>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</si>
  <si>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</si>
  <si>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</si>
  <si>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</si>
  <si>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</si>
  <si>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</si>
  <si>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</si>
  <si>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</si>
  <si>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</si>
  <si>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</si>
  <si>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</si>
  <si>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</si>
  <si>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</si>
  <si>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</si>
  <si>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</si>
  <si>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</si>
  <si>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</si>
  <si>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</si>
  <si>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</si>
  <si>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</si>
  <si>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</si>
  <si>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</si>
  <si>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</si>
  <si>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</si>
  <si>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</si>
  <si>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</si>
  <si>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</si>
  <si>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</si>
  <si>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</si>
  <si>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</si>
  <si>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</si>
  <si>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</si>
  <si>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</si>
  <si>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</si>
  <si>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</si>
  <si>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</si>
  <si>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</si>
  <si>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</si>
  <si>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</si>
  <si>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</si>
  <si>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</si>
  <si>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</si>
  <si>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</si>
  <si>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</si>
  <si>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</si>
  <si>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</si>
  <si>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</si>
  <si>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</si>
  <si>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</si>
  <si>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</si>
  <si>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</si>
  <si>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</si>
  <si>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</si>
  <si>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</si>
  <si>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</si>
  <si>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</si>
  <si>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</si>
  <si>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</si>
  <si>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</si>
  <si>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</si>
  <si>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</si>
  <si>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</si>
  <si>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</si>
  <si>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</si>
  <si>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</si>
  <si>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</si>
  <si>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</si>
  <si>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</si>
  <si>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</si>
  <si>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</si>
  <si>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</si>
  <si>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</si>
  <si>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</si>
  <si>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</si>
  <si>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</si>
  <si>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</si>
  <si>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</si>
  <si>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</si>
  <si>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</si>
  <si>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</si>
  <si>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</si>
  <si>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</si>
  <si>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</si>
  <si>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</si>
  <si>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</si>
  <si>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</si>
  <si>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</si>
  <si>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</si>
  <si>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</si>
  <si>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</si>
  <si>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</si>
  <si>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</si>
  <si>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</si>
  <si>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</si>
  <si>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</si>
  <si>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</si>
  <si>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</si>
  <si>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</si>
  <si>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</si>
  <si>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</si>
  <si>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</si>
  <si>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</si>
  <si>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</si>
  <si>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</si>
  <si>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</si>
  <si>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</si>
  <si>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</si>
  <si>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</si>
  <si>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</si>
  <si>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</si>
  <si>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</si>
  <si>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</si>
  <si>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</si>
  <si>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</si>
  <si>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</si>
  <si>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</si>
  <si>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</si>
  <si>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</si>
  <si>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</si>
  <si>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</si>
  <si>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</si>
  <si>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</si>
  <si>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</si>
  <si>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</si>
  <si>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</si>
  <si>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</si>
  <si>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</si>
  <si>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</si>
  <si>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</si>
  <si>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</si>
  <si>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</si>
  <si>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</si>
  <si>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</si>
  <si>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</si>
  <si>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</si>
  <si>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</si>
  <si>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</si>
  <si>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</si>
  <si>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</si>
  <si>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</si>
  <si>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</si>
  <si>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</si>
  <si>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</si>
  <si>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</si>
  <si>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</si>
  <si>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</si>
  <si>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</si>
  <si>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</si>
  <si>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</si>
  <si>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</si>
  <si>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</si>
  <si>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</si>
  <si>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</si>
  <si>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</si>
  <si>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</si>
  <si>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</si>
  <si>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</si>
  <si>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</si>
  <si>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</si>
  <si>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</si>
  <si>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</si>
  <si>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</si>
  <si>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</si>
  <si>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</si>
  <si>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</si>
  <si>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</si>
  <si>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</si>
  <si>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</si>
  <si>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</si>
  <si>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</si>
  <si>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</si>
  <si>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</si>
  <si>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</si>
  <si>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</si>
  <si>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</si>
  <si>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</si>
  <si>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</si>
  <si>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</si>
  <si>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</si>
  <si>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</si>
  <si>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</si>
  <si>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</si>
  <si>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</si>
  <si>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</si>
  <si>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</si>
  <si>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</si>
  <si>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</si>
  <si>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</si>
  <si>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</si>
  <si>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</si>
  <si>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</si>
  <si>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</si>
  <si>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</si>
  <si>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</si>
  <si>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</si>
  <si>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</si>
  <si>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</si>
  <si>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</si>
  <si>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</si>
  <si>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</si>
  <si>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</si>
  <si>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</si>
  <si>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</si>
  <si>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</si>
  <si>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</si>
  <si>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</si>
  <si>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</si>
  <si>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</si>
  <si>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</si>
  <si>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</si>
  <si>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</si>
  <si>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</si>
  <si>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</si>
  <si>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</si>
  <si>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</si>
  <si>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</si>
  <si>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</si>
  <si>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</si>
  <si>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</si>
  <si>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</si>
  <si>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</si>
  <si>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</si>
  <si>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</si>
  <si>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</si>
  <si>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</si>
  <si>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</si>
  <si>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</si>
  <si>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</si>
  <si>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</si>
  <si>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</si>
  <si>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</si>
  <si>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</si>
  <si>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</si>
  <si>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</si>
  <si>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</si>
  <si>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</si>
  <si>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</si>
  <si>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</si>
  <si>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</si>
  <si>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</si>
  <si>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</si>
  <si>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</si>
  <si>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</si>
  <si>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</si>
  <si>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</si>
  <si>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</si>
  <si>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</si>
  <si>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</si>
  <si>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</si>
  <si>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</si>
  <si>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</si>
  <si>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</si>
  <si>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</si>
  <si>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</si>
  <si>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</si>
  <si>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</si>
  <si>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</si>
  <si>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</si>
  <si>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</si>
  <si>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</si>
  <si>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</si>
  <si>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</si>
  <si>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</si>
  <si>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</si>
  <si>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</si>
  <si>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</si>
  <si>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</si>
  <si>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</si>
  <si>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</si>
  <si>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</si>
  <si>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</si>
  <si>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</si>
  <si>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</si>
  <si>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</si>
  <si>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</si>
  <si>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</si>
  <si>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</si>
  <si>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</si>
  <si>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</si>
  <si>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</si>
  <si>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</si>
  <si>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</si>
  <si>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</si>
  <si>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</si>
  <si>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</si>
  <si>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</si>
  <si>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</si>
  <si>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</si>
  <si>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</si>
  <si>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</si>
  <si>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</si>
  <si>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</si>
  <si>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</si>
  <si>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</si>
  <si>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</si>
  <si>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</si>
  <si>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</si>
  <si>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</si>
  <si>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</si>
  <si>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</si>
  <si>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</si>
  <si>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</si>
  <si>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</si>
  <si>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</si>
  <si>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</si>
  <si>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</si>
  <si>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</si>
  <si>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</si>
  <si>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</si>
  <si>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</si>
  <si>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</si>
  <si>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</si>
  <si>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</si>
  <si>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</si>
  <si>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</si>
  <si>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</si>
  <si>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</si>
  <si>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</si>
  <si>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</si>
  <si>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</si>
  <si>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</si>
  <si>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</si>
  <si>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</si>
  <si>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</si>
  <si>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</si>
  <si>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</si>
  <si>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</si>
  <si>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</si>
  <si>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</si>
  <si>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</si>
  <si>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</si>
  <si>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</si>
  <si>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</si>
  <si>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</si>
  <si>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</si>
  <si>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</si>
  <si>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</si>
  <si>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</si>
  <si>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</si>
  <si>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</si>
  <si>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</si>
  <si>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</si>
  <si>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</si>
  <si>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</si>
  <si>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</si>
  <si>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</si>
  <si>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</si>
  <si>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</si>
  <si>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</si>
  <si>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</si>
  <si>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</si>
  <si>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</si>
  <si>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</si>
  <si>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</si>
  <si>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</si>
  <si>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</si>
  <si>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</si>
  <si>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</si>
  <si>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</si>
  <si>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</si>
  <si>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</si>
  <si>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</si>
  <si>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</si>
  <si>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</si>
  <si>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</si>
  <si>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</si>
  <si>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</si>
  <si>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</si>
  <si>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</si>
  <si>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</si>
  <si>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</si>
  <si>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</si>
  <si>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</si>
  <si>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</si>
  <si>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</si>
  <si>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</si>
  <si>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</si>
  <si>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</si>
  <si>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</si>
  <si>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</si>
  <si>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</si>
  <si>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</si>
  <si>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</si>
  <si>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</si>
  <si>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</si>
  <si>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</si>
  <si>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</si>
  <si>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</si>
  <si>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</si>
  <si>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</si>
  <si>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</si>
  <si>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</si>
  <si>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</si>
  <si>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</si>
  <si>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</si>
  <si>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</si>
  <si>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</si>
  <si>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</si>
  <si>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</si>
  <si>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</si>
  <si>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</si>
  <si>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</si>
  <si>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</si>
  <si>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</si>
  <si>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</si>
  <si>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</si>
  <si>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</si>
  <si>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</si>
  <si>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</si>
  <si>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</si>
  <si>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</si>
  <si>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</si>
  <si>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</si>
  <si>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</si>
  <si>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</si>
  <si>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</si>
  <si>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</si>
  <si>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</si>
  <si>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</si>
  <si>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</si>
  <si>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</si>
  <si>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</si>
  <si>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</si>
  <si>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</si>
  <si>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</si>
  <si>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</si>
  <si>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</si>
  <si>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</si>
  <si>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</si>
  <si>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</si>
  <si>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</si>
  <si>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</si>
  <si>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</si>
  <si>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</si>
  <si>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</si>
  <si>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</si>
  <si>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</si>
  <si>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</si>
  <si>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</si>
  <si>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</si>
  <si>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</si>
  <si>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</si>
  <si>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</si>
  <si>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</si>
  <si>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</si>
  <si>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</si>
  <si>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</si>
  <si>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</si>
  <si>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</si>
  <si>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</si>
  <si>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</si>
  <si>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</si>
  <si>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</si>
  <si>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</si>
  <si>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</si>
  <si>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</si>
  <si>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</si>
  <si>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</si>
  <si>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</si>
  <si>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</si>
  <si>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</si>
  <si>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</si>
  <si>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</si>
  <si>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</si>
  <si>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</si>
  <si>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</si>
  <si>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</si>
  <si>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</si>
  <si>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</si>
  <si>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</si>
  <si>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</si>
  <si>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</si>
  <si>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</si>
  <si>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</si>
  <si>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</si>
  <si>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</si>
  <si>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</si>
  <si>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</si>
  <si>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</si>
  <si>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</si>
  <si>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</si>
  <si>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</si>
  <si>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</si>
  <si>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</si>
  <si>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</si>
  <si>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</si>
  <si>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</si>
  <si>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</si>
  <si>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</si>
  <si>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</si>
  <si>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</si>
  <si>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</si>
  <si>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</si>
  <si>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</si>
  <si>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</si>
  <si>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</si>
  <si>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</si>
  <si>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</si>
  <si>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</si>
  <si>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</si>
  <si>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</si>
  <si>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</si>
  <si>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</si>
  <si>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</si>
  <si>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</si>
  <si>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</si>
  <si>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</si>
  <si>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</si>
  <si>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</si>
  <si>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</si>
  <si>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</si>
  <si>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</si>
  <si>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</si>
  <si>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</si>
  <si>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</si>
  <si>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</si>
  <si>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</si>
  <si>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</si>
  <si>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</si>
  <si>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</si>
  <si>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</si>
  <si>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</si>
  <si>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</si>
  <si>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</si>
  <si>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</si>
  <si>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</si>
  <si>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</si>
  <si>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</si>
  <si>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</si>
  <si>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</si>
  <si>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</si>
  <si>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</si>
  <si>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</si>
  <si>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</si>
  <si>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</si>
  <si>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</si>
  <si>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</si>
  <si>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</si>
  <si>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</si>
  <si>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</si>
  <si>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</si>
  <si>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</si>
  <si>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</si>
  <si>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</si>
  <si>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</si>
  <si>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</si>
  <si>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</si>
  <si>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</si>
  <si>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</si>
  <si>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</si>
  <si>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</si>
  <si>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</si>
  <si>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</si>
  <si>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</si>
  <si>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</si>
  <si>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</si>
  <si>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</si>
  <si>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</si>
  <si>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</si>
  <si>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</si>
  <si>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</si>
  <si>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</si>
  <si>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</si>
  <si>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</si>
  <si>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</si>
  <si>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</si>
  <si>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</si>
  <si>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</si>
  <si>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</si>
  <si>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</si>
  <si>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</si>
  <si>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</si>
  <si>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</si>
  <si>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</si>
  <si>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</si>
  <si>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</si>
  <si>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</si>
  <si>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</si>
  <si>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</si>
  <si>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</si>
  <si>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</si>
  <si>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</si>
  <si>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</si>
  <si>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</si>
  <si>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</si>
  <si>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</si>
  <si>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</si>
  <si>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</si>
  <si>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</si>
  <si>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</si>
  <si>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</si>
  <si>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</si>
  <si>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</si>
  <si>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</si>
  <si>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</si>
  <si>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</si>
  <si>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</si>
  <si>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</si>
  <si>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</si>
  <si>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</si>
  <si>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</si>
  <si>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</si>
  <si>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</si>
  <si>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</si>
  <si>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</si>
  <si>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</si>
  <si>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</si>
  <si>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</si>
  <si>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</si>
  <si>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</si>
  <si>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</si>
  <si>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</si>
  <si>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</si>
  <si>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</si>
  <si>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</si>
  <si>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</si>
  <si>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</si>
  <si>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</si>
  <si>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</si>
  <si>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</si>
  <si>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</si>
  <si>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</si>
  <si>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</si>
  <si>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</si>
  <si>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</si>
  <si>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</si>
  <si>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</si>
  <si>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</si>
  <si>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</si>
  <si>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</si>
  <si>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</si>
  <si>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</si>
  <si>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</si>
  <si>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</si>
  <si>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</si>
  <si>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</si>
  <si>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</si>
  <si>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</si>
  <si>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</si>
  <si>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</si>
  <si>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</si>
  <si>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</si>
  <si>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</si>
  <si>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</si>
  <si>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</si>
  <si>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</si>
  <si>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</si>
  <si>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</si>
  <si>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</si>
  <si>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</si>
  <si>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</si>
  <si>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</si>
  <si>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</si>
  <si>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</si>
  <si>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</si>
  <si>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</si>
  <si>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</si>
  <si>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</si>
  <si>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</si>
  <si>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</si>
  <si>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</si>
  <si>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</si>
  <si>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</si>
  <si>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</si>
  <si>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</si>
  <si>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</si>
  <si>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</si>
  <si>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</si>
  <si>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</si>
  <si>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</si>
  <si>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</si>
  <si>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</si>
  <si>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</si>
  <si>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</si>
  <si>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</si>
  <si>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</si>
  <si>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</si>
  <si>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</si>
  <si>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</si>
  <si>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</si>
  <si>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</si>
  <si>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</si>
  <si>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</si>
  <si>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</si>
  <si>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</si>
  <si>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</si>
  <si>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</si>
  <si>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</si>
  <si>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</si>
  <si>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</si>
  <si>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</si>
  <si>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</si>
  <si>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</si>
  <si>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</si>
  <si>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</si>
  <si>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</si>
  <si>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</si>
  <si>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</si>
  <si>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</si>
  <si>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</si>
  <si>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</si>
  <si>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</si>
  <si>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</si>
  <si>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</si>
  <si>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</si>
  <si>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</si>
  <si>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</si>
  <si>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</si>
  <si>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</si>
  <si>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</si>
  <si>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</si>
  <si>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</si>
  <si>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</si>
  <si>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</si>
  <si>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</si>
  <si>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</si>
  <si>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</si>
  <si>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</si>
  <si>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</si>
  <si>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</si>
  <si>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</si>
  <si>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</si>
  <si>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</si>
  <si>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</si>
  <si>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</si>
  <si>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</si>
  <si>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</si>
  <si>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</si>
  <si>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</si>
  <si>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</si>
  <si>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</si>
  <si>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</si>
  <si>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</si>
  <si>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</si>
  <si>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</si>
  <si>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</si>
  <si>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</si>
  <si>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</si>
  <si>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</si>
  <si>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</si>
  <si>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</si>
  <si>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</si>
  <si>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</si>
  <si>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</si>
  <si>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</si>
  <si>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</si>
  <si>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</si>
  <si>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</si>
  <si>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</si>
  <si>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</si>
  <si>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</si>
  <si>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</si>
  <si>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</si>
  <si>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</si>
  <si>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</si>
  <si>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</si>
  <si>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</si>
  <si>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</si>
  <si>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</si>
  <si>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</si>
  <si>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</si>
  <si>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</si>
  <si>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</si>
  <si>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</si>
  <si>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</si>
  <si>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</si>
  <si>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</si>
  <si>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</si>
  <si>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</si>
  <si>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</si>
  <si>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</si>
  <si>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</si>
  <si>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</si>
  <si>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</si>
  <si>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</si>
  <si>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</si>
  <si>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</si>
  <si>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</si>
  <si>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</si>
  <si>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</si>
  <si>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</si>
  <si>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</si>
  <si>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</si>
  <si>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</si>
  <si>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</si>
  <si>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</si>
  <si>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</si>
  <si>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</si>
  <si>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</si>
  <si>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</si>
  <si>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</si>
  <si>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</si>
  <si>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</si>
  <si>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</si>
  <si>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</si>
  <si>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</si>
  <si>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</si>
  <si>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</si>
  <si>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</si>
  <si>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</si>
  <si>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</si>
  <si>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</si>
  <si>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</si>
  <si>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</si>
  <si>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</si>
  <si>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</si>
  <si>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</si>
  <si>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</si>
  <si>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</si>
  <si>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</si>
  <si>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</si>
  <si>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</si>
  <si>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</si>
  <si>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</si>
  <si>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</si>
  <si>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</si>
  <si>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</si>
  <si>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</si>
  <si>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</si>
  <si>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</si>
  <si>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</si>
  <si>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</si>
  <si>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</si>
  <si>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</si>
  <si>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</si>
  <si>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</si>
  <si>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</si>
  <si>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</si>
  <si>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</si>
  <si>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</si>
  <si>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</si>
  <si>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</si>
  <si>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</si>
  <si>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</si>
  <si>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</si>
  <si>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</si>
  <si>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</si>
  <si>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</si>
  <si>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</si>
  <si>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</si>
  <si>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</si>
  <si>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</si>
  <si>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</si>
  <si>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</si>
  <si>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</si>
  <si>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</si>
  <si>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</si>
  <si>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</si>
  <si>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</si>
  <si>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</si>
  <si>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</si>
  <si>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</si>
  <si>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</si>
  <si>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</si>
  <si>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</si>
  <si>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</si>
  <si>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</si>
  <si>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</si>
  <si>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</si>
  <si>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</si>
  <si>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</si>
  <si>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</si>
  <si>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</si>
  <si>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</si>
  <si>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</si>
  <si>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</si>
  <si>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</si>
  <si>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</si>
  <si>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</si>
  <si>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</si>
  <si>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</si>
  <si>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</si>
  <si>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</si>
  <si>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</si>
  <si>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</si>
  <si>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</si>
  <si>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</si>
  <si>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</si>
  <si>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</si>
  <si>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</si>
  <si>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</si>
  <si>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</si>
  <si>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</si>
  <si>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</si>
  <si>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</si>
  <si>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</si>
  <si>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</si>
  <si>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</si>
  <si>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</si>
  <si>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</si>
  <si>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</si>
  <si>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</si>
  <si>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</si>
  <si>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</si>
  <si>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</si>
  <si>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</si>
  <si>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</si>
  <si>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</si>
  <si>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</si>
  <si>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</si>
  <si>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</si>
  <si>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</si>
  <si>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</si>
  <si>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</si>
  <si>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</si>
  <si>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</si>
  <si>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</si>
  <si>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</si>
  <si>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</si>
  <si>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</si>
  <si>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</si>
  <si>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</si>
  <si>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</si>
  <si>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</si>
  <si>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</si>
  <si>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</si>
  <si>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</si>
  <si>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</si>
  <si>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</si>
  <si>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</si>
  <si>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</si>
  <si>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</si>
  <si>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</si>
  <si>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</si>
  <si>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</si>
  <si>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</si>
  <si>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</si>
  <si>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</si>
  <si>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</si>
  <si>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</si>
  <si>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</si>
  <si>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</si>
  <si>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</si>
  <si>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</si>
  <si>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</si>
  <si>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</si>
  <si>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</si>
  <si>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</si>
  <si>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</si>
  <si>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</si>
  <si>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</si>
  <si>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</si>
  <si>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</si>
  <si>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</si>
  <si>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</si>
  <si>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</si>
  <si>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</si>
  <si>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</si>
  <si>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</si>
  <si>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</si>
  <si>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</si>
  <si>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</si>
  <si>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</si>
  <si>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</si>
  <si>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</si>
  <si>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</si>
  <si>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</si>
  <si>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</si>
  <si>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</si>
  <si>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</si>
  <si>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</si>
  <si>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</si>
  <si>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</si>
  <si>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</si>
  <si>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</si>
  <si>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</si>
  <si>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</si>
  <si>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</si>
  <si>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</si>
  <si>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</si>
  <si>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</si>
  <si>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</si>
  <si>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</si>
  <si>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</si>
  <si>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</si>
  <si>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</si>
  <si>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</si>
  <si>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</si>
  <si>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</si>
  <si>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</si>
  <si>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</si>
  <si>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</si>
  <si>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</si>
  <si>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</si>
  <si>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</si>
  <si>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</si>
  <si>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</si>
  <si>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</si>
  <si>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</si>
  <si>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</si>
  <si>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</si>
  <si>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</si>
  <si>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</si>
  <si>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</si>
  <si>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</si>
  <si>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</si>
  <si>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</si>
  <si>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</si>
  <si>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</si>
  <si>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</si>
  <si>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</si>
  <si>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</si>
  <si>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</si>
  <si>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</si>
  <si>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</si>
  <si>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</si>
  <si>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</si>
  <si>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</si>
  <si>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</si>
  <si>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</si>
  <si>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</si>
  <si>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</si>
  <si>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</si>
  <si>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</si>
  <si>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</si>
  <si>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</si>
  <si>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</si>
  <si>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</si>
  <si>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</si>
  <si>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</si>
  <si>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</si>
  <si>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</si>
  <si>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</si>
  <si>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</si>
  <si>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</si>
  <si>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</si>
  <si>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</si>
  <si>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</si>
  <si>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</si>
  <si>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</si>
  <si>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</si>
  <si>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</si>
  <si>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</si>
  <si>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</si>
  <si>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</si>
  <si>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</si>
  <si>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</si>
  <si>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</si>
  <si>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</si>
  <si>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</si>
  <si>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</si>
  <si>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</si>
  <si>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</si>
  <si>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</si>
  <si>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</si>
  <si>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</si>
  <si>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</si>
  <si>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</si>
  <si>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</si>
  <si>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</si>
  <si>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</si>
  <si>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</si>
  <si>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</si>
  <si>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</si>
  <si>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</si>
  <si>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</si>
  <si>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</si>
  <si>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</si>
  <si>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</si>
  <si>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</si>
  <si>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</si>
  <si>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</si>
  <si>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</si>
  <si>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</si>
  <si>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</si>
  <si>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</si>
  <si>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</si>
  <si>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</si>
  <si>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</si>
  <si>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</si>
  <si>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</si>
  <si>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</si>
  <si>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</si>
  <si>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</si>
  <si>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</si>
  <si>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</si>
  <si>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</si>
  <si>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</si>
  <si>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</si>
  <si>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</si>
  <si>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</si>
  <si>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</si>
  <si>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</si>
  <si>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</si>
  <si>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</si>
  <si>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</si>
  <si>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</si>
  <si>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</si>
  <si>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</si>
  <si>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</si>
  <si>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</si>
  <si>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</si>
  <si>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</si>
  <si>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</si>
  <si>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</si>
  <si>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</si>
  <si>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</si>
  <si>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</si>
  <si>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</si>
  <si>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</si>
  <si>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</si>
  <si>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</si>
  <si>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</si>
  <si>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</si>
  <si>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</si>
  <si>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</si>
  <si>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</si>
  <si>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</si>
  <si>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</si>
  <si>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</si>
  <si>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</si>
  <si>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</si>
  <si>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</si>
  <si>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</si>
  <si>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</si>
  <si>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</si>
  <si>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</si>
  <si>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</si>
  <si>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</si>
  <si>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</si>
  <si>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</si>
  <si>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</si>
  <si>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</si>
  <si>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</si>
  <si>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</si>
  <si>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</si>
  <si>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</si>
  <si>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</si>
  <si>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</si>
  <si>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</si>
  <si>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</si>
  <si>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</si>
  <si>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</si>
  <si>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</si>
  <si>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</si>
  <si>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</si>
  <si>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</si>
  <si>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</si>
  <si>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</si>
  <si>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</si>
  <si>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</si>
  <si>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</si>
  <si>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</si>
  <si>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</si>
  <si>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</si>
  <si>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</si>
  <si>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</si>
  <si>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</si>
  <si>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</si>
  <si>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</si>
  <si>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</si>
  <si>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</si>
  <si>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</si>
  <si>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</si>
  <si>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</si>
  <si>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</si>
  <si>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</si>
  <si>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</si>
  <si>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</si>
  <si>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</si>
  <si>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</si>
  <si>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</si>
  <si>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</si>
  <si>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</si>
  <si>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</si>
  <si>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</si>
  <si>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</si>
  <si>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</si>
  <si>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</si>
  <si>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</si>
  <si>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</si>
  <si>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</si>
  <si>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</si>
  <si>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</si>
  <si>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</si>
  <si>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</si>
  <si>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</si>
  <si>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</si>
  <si>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</si>
  <si>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</si>
  <si>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</si>
  <si>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</si>
  <si>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</si>
  <si>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</si>
  <si>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</si>
  <si>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</si>
  <si>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</si>
  <si>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</si>
  <si>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</si>
  <si>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</si>
  <si>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</si>
  <si>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</si>
  <si>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</si>
  <si>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</si>
  <si>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</si>
  <si>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</si>
  <si>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</si>
  <si>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</si>
  <si>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</si>
  <si>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</si>
  <si>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</si>
  <si>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</si>
  <si>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</si>
  <si>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</si>
  <si>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</si>
  <si>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</si>
  <si>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</si>
  <si>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</si>
  <si>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</si>
  <si>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</si>
  <si>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</si>
  <si>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</si>
  <si>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</si>
  <si>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</si>
  <si>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</si>
  <si>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</si>
  <si>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</si>
  <si>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</si>
  <si>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</si>
  <si>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</si>
  <si>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</si>
  <si>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</si>
  <si>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</si>
  <si>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</si>
  <si>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</si>
  <si>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</si>
  <si>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</si>
  <si>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</si>
  <si>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</si>
  <si>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</si>
  <si>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</si>
  <si>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</si>
  <si>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</si>
  <si>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</si>
  <si>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</si>
  <si>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</si>
  <si>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</si>
  <si>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</si>
  <si>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</si>
  <si>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</si>
  <si>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</si>
  <si>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</si>
  <si>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</si>
  <si>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</si>
  <si>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</si>
  <si>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</si>
  <si>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</si>
  <si>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</si>
  <si>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</si>
  <si>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</si>
  <si>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</si>
  <si>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</si>
  <si>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</si>
  <si>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</si>
  <si>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</si>
  <si>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</si>
  <si>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</si>
  <si>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</si>
  <si>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</si>
  <si>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</si>
  <si>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</si>
  <si>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</si>
  <si>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</si>
  <si>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</si>
  <si>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</si>
  <si>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</si>
  <si>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</si>
  <si>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</si>
  <si>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</si>
  <si>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</si>
  <si>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</si>
  <si>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</si>
  <si>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</si>
  <si>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</si>
  <si>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</si>
  <si>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</si>
  <si>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</si>
  <si>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</si>
  <si>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</si>
  <si>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</si>
  <si>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</si>
  <si>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</si>
  <si>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</si>
  <si>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</si>
  <si>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</si>
  <si>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</si>
  <si>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</si>
  <si>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</si>
  <si>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</si>
  <si>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</si>
  <si>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</si>
  <si>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</si>
  <si>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</si>
  <si>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</si>
  <si>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</si>
  <si>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</si>
  <si>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</si>
  <si>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</si>
  <si>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</si>
  <si>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</si>
  <si>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</si>
  <si>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</si>
  <si>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</si>
  <si>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</si>
  <si>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</si>
  <si>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</si>
  <si>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</si>
  <si>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</si>
  <si>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</si>
  <si>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</si>
  <si>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</si>
  <si>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</si>
  <si>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</si>
  <si>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</si>
  <si>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</si>
  <si>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</si>
  <si>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</si>
  <si>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</si>
  <si>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</si>
  <si>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</si>
  <si>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</si>
  <si>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</si>
  <si>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</si>
  <si>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</si>
  <si>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</si>
  <si>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</si>
  <si>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</si>
  <si>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</si>
  <si>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</si>
  <si>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</si>
  <si>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</si>
  <si>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</si>
  <si>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</si>
  <si>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</si>
  <si>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</si>
  <si>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</si>
  <si>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</si>
  <si>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</si>
  <si>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</si>
  <si>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</si>
  <si>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</si>
  <si>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</si>
  <si>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</si>
  <si>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</si>
  <si>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</si>
  <si>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</si>
  <si>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</si>
  <si>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</si>
  <si>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</si>
  <si>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</si>
  <si>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</si>
  <si>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</si>
  <si>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</si>
  <si>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</si>
  <si>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</si>
  <si>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</si>
  <si>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</si>
  <si>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</si>
  <si>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</si>
  <si>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</si>
  <si>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</si>
  <si>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</si>
  <si>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</si>
  <si>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</si>
  <si>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</si>
  <si>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</si>
  <si>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</si>
  <si>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</si>
  <si>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</si>
  <si>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</si>
  <si>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</si>
  <si>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</si>
  <si>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</si>
  <si>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</si>
  <si>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</si>
  <si>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</si>
  <si>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</si>
  <si>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</si>
  <si>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</si>
  <si>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</si>
  <si>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</si>
  <si>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</si>
  <si>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</si>
  <si>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</si>
  <si>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</si>
  <si>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</si>
  <si>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</si>
  <si>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</si>
  <si>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</si>
  <si>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</si>
  <si>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</si>
  <si>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</si>
  <si>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</si>
  <si>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</si>
  <si>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</si>
  <si>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</si>
  <si>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</si>
  <si>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</si>
  <si>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</si>
  <si>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</si>
  <si>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</si>
  <si>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</si>
  <si>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</si>
  <si>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</si>
  <si>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</si>
  <si>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</si>
  <si>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</si>
  <si>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</si>
  <si>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</si>
  <si>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</si>
  <si>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</si>
  <si>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</si>
  <si>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</si>
  <si>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</si>
  <si>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</si>
  <si>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</si>
  <si>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</si>
  <si>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</si>
  <si>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</si>
  <si>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</si>
  <si>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</si>
  <si>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</si>
  <si>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</si>
  <si>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</si>
  <si>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</si>
  <si>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</si>
  <si>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</si>
  <si>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</si>
  <si>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</si>
  <si>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</si>
  <si>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</si>
  <si>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</si>
  <si>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</si>
  <si>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</si>
  <si>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</si>
  <si>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</si>
  <si>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</si>
  <si>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</si>
  <si>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</si>
  <si>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</si>
  <si>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</si>
  <si>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</si>
  <si>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</si>
  <si>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</si>
  <si>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</si>
  <si>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</si>
  <si>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</si>
  <si>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</si>
  <si>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</si>
  <si>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</si>
  <si>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</si>
  <si>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</si>
  <si>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</si>
  <si>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</si>
  <si>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</si>
  <si>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</si>
  <si>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</si>
  <si>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</si>
  <si>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</si>
  <si>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</si>
  <si>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</si>
  <si>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</si>
  <si>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</si>
  <si>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</si>
  <si>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</si>
  <si>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</si>
  <si>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</si>
  <si>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</si>
  <si>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</si>
  <si>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</si>
  <si>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</si>
  <si>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</si>
  <si>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</si>
  <si>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</si>
  <si>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</si>
  <si>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</si>
  <si>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</si>
  <si>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</si>
  <si>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</si>
  <si>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</si>
  <si>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</si>
  <si>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</si>
  <si>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</si>
  <si>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</si>
  <si>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</si>
  <si>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</si>
  <si>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</si>
  <si>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</si>
  <si>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</si>
  <si>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</si>
  <si>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</si>
  <si>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</si>
  <si>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</si>
  <si>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</si>
  <si>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</si>
  <si>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</si>
  <si>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</si>
  <si>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</si>
  <si>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</si>
  <si>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</si>
  <si>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</si>
  <si>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</si>
  <si>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</si>
  <si>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</si>
  <si>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</si>
  <si>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</si>
  <si>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</si>
  <si>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</si>
  <si>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</si>
  <si>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</si>
  <si>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</si>
  <si>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</si>
  <si>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</si>
  <si>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</si>
  <si>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</si>
  <si>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</si>
  <si>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</si>
  <si>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</si>
  <si>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</si>
  <si>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</si>
  <si>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</si>
  <si>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</si>
  <si>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</si>
  <si>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</si>
  <si>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</si>
  <si>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</si>
  <si>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</si>
  <si>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</si>
  <si>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</si>
  <si>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</si>
  <si>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</si>
  <si>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</si>
  <si>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</si>
  <si>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</si>
  <si>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</si>
  <si>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</si>
  <si>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</si>
  <si>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</si>
  <si>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</si>
  <si>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</si>
  <si>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</si>
  <si>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</si>
  <si>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</si>
  <si>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</si>
  <si>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</si>
  <si>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</si>
  <si>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</si>
  <si>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</si>
  <si>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</si>
  <si>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</si>
  <si>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</si>
  <si>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</si>
  <si>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</si>
  <si>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</si>
  <si>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</si>
  <si>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</si>
  <si>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</si>
  <si>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</si>
  <si>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</si>
  <si>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</si>
  <si>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</si>
  <si>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</si>
  <si>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</si>
  <si>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</si>
  <si>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</si>
  <si>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</si>
  <si>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</si>
  <si>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</si>
  <si>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</si>
  <si>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</si>
  <si>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</si>
  <si>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</si>
  <si>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</si>
  <si>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</si>
  <si>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</si>
  <si>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</si>
  <si>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</si>
  <si>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</si>
  <si>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</si>
  <si>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</si>
  <si>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</si>
  <si>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</si>
  <si>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</si>
  <si>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</si>
  <si>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</si>
  <si>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</si>
  <si>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</si>
  <si>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</si>
  <si>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</si>
  <si>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</si>
  <si>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</si>
  <si>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</si>
  <si>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</si>
  <si>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</si>
  <si>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</si>
  <si>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</si>
  <si>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</si>
  <si>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</si>
  <si>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</si>
  <si>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</si>
  <si>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</si>
  <si>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</si>
  <si>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</si>
  <si>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</si>
  <si>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</si>
  <si>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</si>
  <si>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</si>
  <si>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</si>
  <si>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</si>
  <si>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</si>
  <si>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</si>
  <si>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</si>
  <si>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</si>
  <si>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</si>
  <si>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</si>
  <si>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</si>
  <si>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</si>
  <si>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</si>
  <si>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</si>
  <si>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</si>
  <si>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</si>
  <si>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</si>
  <si>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</si>
  <si>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</si>
  <si>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</si>
  <si>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</si>
  <si>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</si>
  <si>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</si>
  <si>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</si>
  <si>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</si>
  <si>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</si>
  <si>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</si>
  <si>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</si>
  <si>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</si>
  <si>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</si>
  <si>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</si>
  <si>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</si>
  <si>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</si>
  <si>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</si>
  <si>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</si>
  <si>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</si>
  <si>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</si>
  <si>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</si>
  <si>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</si>
  <si>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</si>
  <si>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</si>
  <si>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</si>
  <si>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</si>
  <si>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</si>
  <si>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</si>
  <si>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</si>
  <si>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</si>
  <si>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</si>
  <si>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</si>
  <si>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</si>
  <si>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</si>
  <si>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</si>
  <si>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</si>
  <si>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</si>
  <si>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</si>
  <si>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</si>
  <si>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</si>
  <si>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</si>
  <si>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</si>
  <si>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</si>
  <si>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</si>
  <si>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</si>
  <si>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</si>
  <si>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</si>
  <si>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</si>
  <si>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</si>
  <si>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</si>
  <si>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</si>
  <si>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</si>
  <si>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</si>
  <si>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</si>
  <si>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</si>
  <si>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</si>
  <si>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</si>
  <si>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</si>
  <si>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</si>
  <si>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</si>
  <si>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</si>
  <si>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</si>
  <si>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</si>
  <si>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</si>
  <si>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</si>
  <si>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</si>
  <si>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</si>
  <si>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</si>
  <si>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</si>
  <si>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</si>
  <si>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</si>
  <si>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</si>
  <si>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</si>
  <si>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</si>
  <si>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</si>
  <si>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</si>
  <si>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</si>
  <si>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</si>
  <si>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</si>
  <si>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</si>
  <si>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</si>
  <si>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</si>
  <si>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</si>
  <si>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</si>
  <si>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</si>
  <si>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</si>
  <si>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</si>
  <si>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</si>
  <si>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</si>
  <si>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</si>
  <si>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</si>
  <si>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</si>
  <si>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</si>
  <si>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</si>
  <si>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</si>
  <si>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</si>
  <si>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</si>
  <si>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</si>
  <si>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</si>
  <si>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</si>
  <si>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</si>
  <si>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</si>
  <si>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</si>
  <si>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</si>
  <si>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</si>
  <si>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</si>
  <si>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</si>
  <si>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</si>
  <si>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</si>
  <si>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</si>
  <si>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</si>
  <si>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</si>
  <si>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</si>
  <si>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</si>
  <si>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</si>
  <si>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</si>
  <si>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</si>
  <si>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</si>
  <si>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</si>
  <si>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</si>
  <si>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</si>
  <si>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</si>
  <si>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</si>
  <si>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</si>
  <si>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</si>
  <si>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</si>
  <si>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</si>
  <si>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</si>
  <si>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</si>
  <si>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</si>
  <si>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</si>
  <si>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</si>
  <si>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</si>
  <si>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</si>
  <si>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</si>
  <si>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</si>
  <si>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</si>
  <si>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</si>
  <si>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</si>
  <si>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</si>
  <si>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</si>
  <si>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</si>
  <si>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</si>
  <si>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</si>
  <si>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</si>
  <si>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</si>
  <si>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</si>
  <si>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</si>
  <si>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</si>
  <si>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</si>
  <si>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</si>
  <si>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</si>
  <si>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</si>
  <si>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</si>
  <si>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</si>
  <si>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</si>
  <si>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</si>
  <si>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</si>
  <si>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</si>
  <si>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</si>
  <si>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</si>
  <si>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</si>
  <si>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</si>
  <si>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</si>
  <si>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</si>
  <si>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</si>
  <si>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</si>
  <si>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</si>
  <si>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</si>
  <si>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</si>
  <si>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</si>
  <si>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</si>
  <si>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</si>
  <si>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</si>
  <si>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</si>
  <si>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</si>
  <si>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</si>
  <si>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</si>
  <si>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</si>
  <si>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</si>
  <si>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</si>
  <si>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</si>
  <si>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</si>
  <si>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</si>
  <si>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</si>
  <si>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</si>
  <si>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</si>
  <si>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</si>
  <si>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</si>
  <si>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</si>
  <si>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</si>
  <si>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</si>
  <si>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</si>
  <si>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</si>
  <si>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</si>
  <si>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</si>
  <si>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</si>
  <si>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</si>
  <si>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</si>
  <si>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</si>
  <si>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</si>
  <si>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</si>
  <si>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</si>
  <si>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</si>
  <si>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</si>
  <si>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</si>
  <si>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</si>
  <si>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</si>
  <si>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</si>
  <si>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</si>
  <si>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</si>
  <si>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</si>
  <si>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</si>
  <si>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</si>
  <si>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</si>
  <si>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</si>
  <si>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</si>
  <si>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</si>
  <si>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</si>
  <si>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</si>
  <si>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</si>
  <si>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</si>
  <si>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</si>
  <si>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</si>
  <si>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</si>
  <si>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</si>
  <si>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</si>
  <si>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</si>
  <si>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</si>
  <si>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</si>
  <si>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</si>
  <si>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</si>
  <si>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</si>
  <si>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</si>
  <si>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</si>
  <si>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</si>
  <si>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</si>
  <si>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</si>
  <si>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</si>
  <si>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</si>
  <si>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</si>
  <si>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</si>
  <si>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</si>
  <si>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</si>
  <si>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</si>
  <si>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</si>
  <si>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</si>
  <si>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</si>
  <si>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</si>
  <si>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</si>
  <si>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</si>
  <si>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</si>
  <si>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</si>
  <si>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</si>
  <si>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</si>
  <si>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</si>
  <si>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</si>
  <si>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</si>
  <si>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</si>
  <si>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</si>
  <si>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</si>
  <si>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</si>
  <si>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</si>
  <si>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</si>
  <si>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</si>
  <si>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</si>
  <si>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</si>
  <si>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</si>
  <si>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</si>
  <si>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</si>
  <si>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</si>
  <si>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</si>
  <si>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</si>
  <si>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</si>
  <si>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</si>
  <si>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</si>
  <si>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</si>
  <si>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</si>
  <si>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</si>
  <si>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</si>
  <si>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</si>
  <si>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</si>
  <si>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</si>
  <si>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</si>
  <si>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</si>
  <si>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</si>
  <si>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</si>
  <si>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</si>
  <si>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</si>
  <si>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</si>
  <si>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</si>
  <si>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</si>
  <si>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</si>
  <si>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</si>
  <si>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</si>
  <si>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</si>
  <si>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</si>
  <si>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</si>
  <si>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</si>
  <si>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</si>
  <si>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</si>
  <si>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</si>
  <si>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</si>
  <si>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</si>
  <si>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</si>
  <si>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</si>
  <si>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</si>
  <si>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</si>
  <si>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</si>
  <si>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</si>
  <si>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</si>
  <si>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</si>
  <si>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</si>
  <si>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</si>
  <si>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</si>
  <si>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</si>
  <si>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</si>
  <si>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</si>
  <si>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</si>
  <si>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</si>
  <si>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</si>
  <si>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</si>
  <si>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</si>
  <si>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</si>
  <si>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</si>
  <si>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</si>
  <si>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</si>
  <si>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</si>
  <si>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</si>
  <si>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</si>
  <si>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</si>
  <si>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</si>
  <si>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</si>
  <si>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</si>
  <si>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</si>
  <si>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</si>
  <si>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</si>
  <si>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</si>
  <si>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</si>
  <si>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</si>
  <si>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</si>
  <si>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</si>
  <si>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</si>
  <si>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</si>
  <si>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</si>
  <si>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</si>
  <si>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</si>
  <si>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</si>
  <si>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</si>
  <si>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</si>
  <si>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</si>
  <si>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</si>
  <si>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</si>
  <si>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</si>
  <si>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</si>
  <si>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</si>
  <si>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</si>
  <si>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</si>
  <si>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</si>
  <si>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</si>
  <si>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</si>
  <si>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</si>
  <si>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</si>
  <si>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</si>
  <si>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</si>
  <si>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</si>
  <si>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</si>
  <si>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</si>
  <si>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</si>
  <si>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</si>
  <si>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</si>
  <si>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</si>
  <si>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</si>
  <si>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</si>
  <si>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</si>
  <si>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</si>
  <si>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</si>
  <si>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</si>
  <si>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</si>
  <si>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</si>
  <si>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</si>
  <si>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</si>
  <si>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</si>
  <si>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</si>
  <si>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</si>
  <si>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</si>
  <si>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</si>
  <si>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</si>
  <si>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</si>
  <si>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</si>
  <si>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</si>
  <si>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</si>
  <si>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</si>
  <si>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</si>
  <si>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</si>
  <si>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</si>
  <si>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</si>
  <si>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</si>
  <si>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</si>
  <si>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</si>
  <si>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</si>
  <si>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</si>
  <si>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</si>
  <si>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</si>
  <si>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</si>
  <si>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</si>
  <si>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</si>
  <si>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</si>
  <si>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</si>
  <si>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</si>
  <si>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</si>
  <si>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</si>
  <si>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</si>
  <si>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</si>
  <si>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</si>
  <si>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</si>
  <si>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</si>
  <si>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</si>
  <si>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</si>
  <si>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</si>
  <si>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</si>
  <si>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</si>
  <si>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</si>
  <si>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</si>
  <si>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</si>
  <si>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</si>
  <si>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</si>
  <si>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</si>
  <si>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</si>
  <si>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</si>
  <si>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</si>
  <si>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</si>
  <si>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</si>
  <si>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</si>
  <si>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</si>
  <si>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</si>
  <si>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</si>
  <si>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</si>
  <si>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</si>
  <si>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</si>
  <si>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</si>
  <si>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</si>
  <si>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</si>
  <si>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</si>
  <si>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</si>
  <si>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</si>
  <si>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</si>
  <si>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</si>
  <si>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</si>
  <si>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</si>
  <si>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</si>
  <si>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</si>
  <si>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</si>
  <si>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</si>
  <si>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</si>
  <si>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</si>
  <si>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</si>
  <si>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</si>
  <si>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</si>
  <si>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</si>
  <si>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</si>
  <si>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</si>
  <si>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</si>
  <si>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</si>
  <si>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</si>
  <si>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</si>
  <si>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</si>
  <si>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</si>
  <si>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</si>
  <si>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</si>
  <si>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</si>
  <si>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</si>
  <si>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</si>
  <si>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</si>
  <si>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</si>
  <si>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</si>
  <si>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</si>
  <si>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</si>
  <si>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</si>
  <si>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</si>
  <si>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</si>
  <si>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</si>
  <si>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</si>
  <si>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</si>
  <si>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</si>
  <si>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</si>
  <si>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</si>
  <si>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</si>
  <si>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</si>
  <si>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</si>
  <si>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</si>
  <si>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</si>
  <si>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</si>
  <si>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</si>
  <si>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</si>
  <si>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</si>
  <si>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</si>
  <si>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</si>
  <si>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</si>
  <si>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</si>
  <si>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</si>
  <si>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</si>
  <si>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</si>
  <si>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</si>
  <si>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</si>
  <si>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</si>
  <si>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</si>
  <si>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</si>
  <si>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</si>
  <si>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</si>
  <si>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</si>
  <si>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</si>
  <si>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</si>
  <si>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</si>
  <si>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</si>
  <si>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</si>
  <si>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</si>
  <si>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</si>
  <si>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</si>
  <si>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</si>
  <si>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</si>
  <si>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</si>
  <si>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</si>
  <si>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</si>
  <si>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</si>
  <si>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</si>
  <si>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</si>
  <si>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</si>
  <si>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</si>
  <si>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</si>
  <si>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</si>
  <si>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</si>
  <si>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</si>
  <si>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</si>
  <si>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</si>
  <si>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</si>
  <si>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</si>
  <si>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</si>
  <si>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</si>
  <si>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</si>
  <si>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</si>
  <si>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</si>
  <si>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</si>
  <si>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</si>
  <si>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</si>
  <si>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</si>
  <si>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</si>
  <si>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</si>
  <si>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</si>
  <si>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</si>
  <si>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</si>
  <si>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</si>
  <si>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</si>
  <si>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</si>
  <si>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</si>
  <si>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</si>
  <si>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</si>
  <si>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</si>
  <si>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</si>
  <si>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</si>
  <si>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</si>
  <si>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</si>
  <si>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</si>
  <si>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</si>
  <si>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</si>
  <si>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</si>
  <si>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</si>
  <si>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</si>
  <si>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</si>
  <si>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</si>
  <si>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</si>
  <si>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</si>
  <si>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</si>
  <si>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</si>
  <si>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</si>
  <si>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</si>
  <si>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</si>
  <si>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</si>
  <si>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</si>
  <si>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</si>
  <si>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</si>
  <si>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</si>
  <si>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</si>
  <si>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</si>
  <si>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</si>
  <si>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</si>
  <si>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</si>
  <si>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</si>
  <si>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</si>
  <si>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</si>
  <si>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</si>
  <si>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</si>
  <si>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</si>
  <si>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</si>
  <si>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</si>
  <si>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</si>
  <si>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</si>
  <si>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</si>
  <si>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</si>
  <si>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</si>
  <si>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</si>
  <si>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</si>
  <si>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</si>
  <si>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</si>
  <si>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</si>
  <si>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</si>
  <si>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</si>
  <si>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</si>
  <si>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</si>
  <si>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</si>
  <si>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</si>
  <si>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</si>
  <si>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</si>
  <si>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</si>
  <si>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</si>
  <si>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</si>
  <si>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</si>
  <si>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</si>
  <si>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</si>
  <si>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</si>
  <si>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</si>
  <si>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</si>
  <si>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</si>
  <si>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</si>
  <si>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</si>
  <si>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</si>
  <si>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</si>
  <si>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</si>
  <si>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</si>
  <si>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</si>
  <si>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</si>
  <si>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</si>
  <si>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</si>
  <si>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</si>
  <si>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</si>
  <si>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</si>
  <si>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</si>
  <si>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</si>
  <si>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</si>
  <si>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</si>
  <si>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</si>
  <si>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</si>
  <si>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</si>
  <si>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</si>
  <si>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</si>
  <si>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</si>
  <si>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</si>
  <si>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</si>
  <si>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</si>
  <si>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</si>
  <si>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</si>
  <si>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</si>
  <si>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</si>
  <si>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</si>
  <si>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</si>
  <si>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</si>
  <si>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</si>
  <si>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</si>
  <si>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</si>
  <si>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</si>
  <si>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</si>
  <si>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</si>
  <si>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</si>
  <si>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</si>
  <si>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</si>
  <si>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</si>
  <si>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</si>
  <si>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</si>
  <si>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</si>
  <si>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</si>
  <si>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</si>
  <si>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</si>
  <si>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</si>
  <si>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</si>
  <si>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</si>
  <si>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</si>
  <si>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</si>
  <si>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</si>
  <si>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</si>
  <si>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</si>
  <si>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</si>
  <si>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</si>
  <si>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</si>
  <si>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</si>
  <si>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</si>
  <si>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</si>
  <si>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</si>
  <si>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</si>
  <si>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</si>
  <si>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</si>
  <si>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</si>
  <si>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</si>
  <si>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</si>
  <si>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</si>
  <si>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</si>
  <si>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</si>
  <si>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</si>
  <si>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</si>
  <si>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</si>
  <si>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</si>
  <si>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</si>
  <si>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</si>
  <si>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</si>
  <si>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</si>
  <si>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</si>
  <si>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</si>
  <si>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</si>
  <si>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</si>
  <si>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</si>
  <si>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</si>
  <si>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</si>
  <si>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</si>
  <si>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</si>
  <si>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</si>
  <si>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</si>
  <si>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</si>
  <si>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</si>
  <si>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</si>
  <si>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</si>
  <si>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</si>
  <si>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</si>
  <si>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</si>
  <si>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</si>
  <si>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</si>
  <si>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</si>
  <si>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</si>
  <si>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</si>
  <si>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</si>
  <si>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</si>
  <si>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</si>
  <si>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</si>
  <si>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</si>
  <si>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</si>
  <si>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</si>
  <si>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</si>
  <si>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</si>
  <si>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</si>
  <si>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</si>
  <si>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</si>
  <si>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</si>
  <si>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</si>
  <si>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</si>
  <si>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</si>
  <si>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</si>
  <si>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</si>
  <si>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</si>
  <si>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</si>
  <si>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</si>
  <si>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</si>
  <si>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</si>
  <si>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</si>
  <si>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</si>
  <si>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</si>
  <si>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</si>
  <si>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</si>
  <si>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</si>
  <si>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</si>
  <si>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</si>
  <si>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</si>
  <si>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</si>
  <si>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</si>
  <si>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</si>
  <si>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</si>
  <si>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</si>
  <si>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</si>
  <si>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</si>
  <si>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</si>
  <si>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</si>
  <si>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</si>
  <si>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</si>
  <si>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</si>
  <si>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</si>
  <si>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</si>
  <si>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</si>
  <si>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</si>
  <si>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</si>
  <si>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</si>
  <si>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</si>
  <si>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</si>
  <si>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</si>
  <si>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</si>
  <si>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</si>
  <si>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</si>
  <si>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</si>
  <si>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</si>
  <si>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</si>
  <si>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</si>
  <si>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</si>
  <si>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</si>
  <si>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</si>
  <si>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</si>
  <si>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</si>
  <si>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</si>
  <si>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</si>
  <si>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</si>
  <si>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</si>
  <si>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</si>
  <si>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</si>
  <si>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</si>
  <si>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</si>
  <si>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</si>
  <si>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</si>
  <si>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</si>
  <si>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</si>
  <si>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</si>
  <si>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</si>
  <si>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</si>
  <si>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</si>
  <si>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</si>
  <si>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</si>
  <si>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</si>
  <si>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</si>
  <si>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</si>
  <si>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</si>
  <si>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</si>
  <si>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</si>
  <si>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</si>
  <si>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</si>
  <si>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</si>
  <si>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</si>
  <si>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</si>
  <si>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</si>
  <si>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</si>
  <si>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</si>
  <si>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</si>
  <si>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</si>
  <si>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</si>
  <si>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</si>
  <si>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</si>
  <si>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</si>
  <si>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</si>
  <si>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</si>
  <si>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</si>
  <si>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</si>
  <si>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</si>
  <si>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</si>
  <si>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</si>
  <si>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</si>
  <si>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</si>
  <si>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</si>
  <si>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</si>
  <si>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</si>
  <si>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</si>
  <si>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</si>
  <si>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</si>
  <si>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</si>
  <si>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</si>
  <si>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</si>
  <si>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</si>
  <si>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</si>
  <si>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</si>
  <si>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</si>
  <si>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</si>
  <si>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</si>
  <si>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</si>
  <si>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</si>
  <si>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</si>
  <si>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</si>
  <si>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</si>
  <si>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</si>
  <si>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</si>
  <si>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</si>
  <si>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</si>
  <si>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</si>
  <si>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</si>
  <si>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</si>
  <si>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</si>
  <si>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</si>
  <si>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</si>
  <si>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</si>
  <si>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</si>
  <si>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</si>
  <si>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</si>
  <si>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</si>
  <si>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</si>
  <si>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</si>
  <si>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</si>
  <si>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</si>
  <si>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</si>
  <si>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</si>
  <si>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</si>
  <si>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</si>
  <si>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</si>
  <si>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</si>
  <si>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</si>
  <si>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</si>
  <si>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</si>
  <si>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</si>
  <si>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</si>
  <si>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</si>
  <si>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</si>
  <si>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</si>
  <si>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</si>
  <si>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</si>
  <si>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</si>
  <si>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</si>
  <si>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</si>
  <si>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</si>
  <si>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</si>
  <si>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</si>
  <si>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</si>
  <si>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</si>
  <si>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</si>
  <si>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</si>
  <si>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</si>
  <si>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</si>
  <si>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</si>
  <si>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</si>
  <si>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</si>
  <si>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</si>
  <si>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</si>
  <si>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</si>
  <si>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</si>
  <si>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</si>
  <si>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</si>
  <si>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</si>
  <si>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</si>
  <si>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</si>
  <si>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</si>
  <si>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</si>
  <si>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</si>
  <si>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</si>
  <si>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</si>
  <si>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</si>
  <si>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</si>
  <si>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</si>
  <si>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</si>
  <si>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</si>
  <si>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</si>
  <si>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</si>
  <si>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</si>
  <si>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</si>
  <si>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</si>
  <si>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</si>
  <si>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</si>
  <si>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</si>
  <si>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</si>
  <si>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</si>
  <si>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</si>
  <si>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</si>
  <si>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</si>
  <si>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</si>
  <si>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</si>
  <si>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</si>
  <si>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</si>
  <si>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</si>
  <si>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</si>
  <si>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</si>
  <si>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</si>
  <si>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</si>
  <si>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</si>
  <si>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</si>
  <si>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</si>
  <si>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</si>
  <si>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</si>
  <si>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</si>
  <si>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</si>
  <si>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</si>
  <si>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</si>
  <si>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</si>
  <si>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</si>
  <si>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</si>
  <si>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</si>
  <si>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</si>
  <si>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</si>
  <si>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</si>
  <si>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</si>
  <si>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</si>
  <si>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</si>
  <si>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</si>
  <si>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</si>
  <si>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</si>
  <si>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</si>
  <si>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</si>
  <si>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</si>
  <si>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</si>
  <si>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</si>
  <si>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</si>
  <si>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</si>
  <si>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</si>
  <si>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</si>
  <si>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</si>
  <si>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</si>
  <si>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</si>
  <si>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</si>
  <si>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</si>
  <si>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</si>
  <si>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</si>
  <si>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</si>
  <si>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</si>
  <si>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</si>
  <si>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</si>
  <si>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</si>
  <si>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</si>
  <si>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</si>
  <si>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</si>
  <si>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</si>
  <si>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</si>
  <si>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</si>
  <si>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</si>
  <si>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</si>
  <si>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</si>
  <si>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</si>
  <si>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</si>
  <si>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</si>
  <si>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</si>
  <si>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</si>
  <si>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</si>
  <si>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</si>
  <si>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</si>
  <si>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</si>
  <si>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</si>
  <si>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</si>
  <si>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</si>
  <si>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</si>
  <si>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</si>
  <si>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</si>
  <si>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</si>
  <si>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</si>
  <si>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</si>
  <si>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</si>
  <si>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</si>
  <si>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</si>
  <si>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</si>
  <si>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</si>
  <si>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</si>
  <si>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</si>
  <si>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</si>
  <si>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</si>
  <si>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</si>
  <si>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</si>
  <si>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</si>
  <si>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</si>
  <si>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</si>
  <si>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</si>
  <si>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</si>
  <si>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</si>
  <si>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</si>
  <si>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</si>
  <si>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</si>
  <si>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</si>
  <si>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</si>
  <si>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</si>
  <si>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</si>
  <si>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</si>
  <si>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</si>
  <si>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</si>
  <si>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</si>
  <si>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</si>
  <si>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</si>
  <si>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</si>
  <si>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</si>
  <si>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</si>
  <si>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</si>
  <si>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</si>
  <si>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</si>
  <si>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</si>
  <si>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</si>
  <si>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</si>
  <si>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</si>
  <si>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</si>
  <si>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</si>
  <si>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</si>
  <si>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</si>
  <si>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</si>
  <si>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</si>
  <si>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</si>
  <si>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</si>
  <si>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</si>
  <si>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</si>
  <si>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</si>
  <si>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</si>
  <si>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</si>
  <si>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</si>
  <si>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</si>
  <si>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</si>
  <si>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</si>
  <si>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</si>
  <si>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</si>
  <si>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</si>
  <si>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</si>
  <si>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</si>
  <si>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</si>
  <si>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</si>
  <si>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</si>
  <si>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</si>
  <si>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</si>
  <si>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</si>
  <si>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</si>
  <si>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</si>
  <si>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</si>
  <si>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</si>
  <si>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</si>
  <si>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</si>
  <si>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</si>
  <si>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</si>
  <si>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</si>
  <si>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</si>
  <si>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</si>
  <si>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</si>
  <si>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</si>
  <si>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</si>
  <si>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</si>
  <si>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</si>
  <si>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</si>
  <si>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</si>
  <si>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</si>
  <si>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</si>
  <si>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</si>
  <si>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</si>
  <si>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</si>
  <si>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</si>
  <si>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</si>
  <si>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</si>
  <si>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</si>
  <si>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</si>
  <si>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</si>
  <si>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</si>
  <si>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</si>
  <si>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</si>
  <si>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</si>
  <si>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</si>
  <si>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</si>
  <si>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</si>
  <si>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</si>
  <si>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</si>
  <si>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</si>
  <si>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</si>
  <si>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</si>
  <si>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</si>
  <si>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</si>
  <si>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</si>
  <si>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</si>
  <si>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</si>
  <si>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</si>
  <si>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</si>
  <si>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</si>
  <si>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</si>
  <si>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</si>
  <si>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</si>
  <si>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</si>
  <si>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</si>
  <si>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</si>
  <si>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</si>
  <si>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</si>
  <si>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</si>
  <si>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</si>
  <si>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</si>
  <si>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</si>
  <si>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</si>
  <si>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</si>
  <si>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</si>
  <si>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</si>
  <si>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</si>
  <si>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</si>
  <si>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</si>
  <si>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</si>
  <si>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</si>
  <si>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</si>
  <si>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</si>
  <si>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</si>
  <si>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</si>
  <si>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</si>
  <si>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</si>
  <si>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</si>
  <si>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</si>
  <si>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</si>
  <si>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</si>
  <si>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</si>
  <si>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</si>
  <si>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</si>
  <si>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</si>
  <si>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</si>
  <si>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</si>
  <si>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</si>
  <si>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</si>
  <si>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</si>
  <si>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</si>
  <si>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</si>
  <si>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</si>
  <si>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</si>
  <si>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</si>
  <si>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</si>
  <si>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</si>
  <si>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</si>
  <si>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</si>
  <si>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</si>
  <si>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</si>
  <si>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</si>
  <si>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</si>
  <si>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</si>
  <si>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</si>
  <si>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</si>
  <si>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</si>
  <si>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</si>
  <si>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</si>
  <si>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</si>
  <si>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</si>
  <si>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</si>
  <si>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</si>
  <si>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</si>
  <si>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</si>
  <si>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</si>
  <si>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</si>
  <si>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</si>
  <si>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</si>
  <si>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</si>
  <si>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</si>
  <si>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</si>
  <si>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</si>
  <si>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</si>
  <si>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</si>
  <si>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</si>
  <si>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</si>
  <si>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</si>
  <si>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</si>
  <si>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</si>
  <si>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</si>
  <si>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</si>
  <si>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</si>
  <si>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</si>
  <si>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</si>
  <si>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</si>
  <si>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</si>
  <si>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</si>
  <si>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</si>
  <si>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</si>
  <si>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</si>
  <si>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</si>
  <si>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</si>
  <si>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</si>
  <si>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</si>
  <si>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</si>
  <si>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</si>
  <si>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</si>
  <si>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</si>
  <si>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</si>
  <si>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</si>
  <si>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</si>
  <si>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</si>
  <si>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</si>
  <si>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</si>
  <si>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</si>
  <si>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</si>
  <si>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</si>
  <si>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</si>
  <si>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</si>
  <si>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</si>
  <si>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</si>
  <si>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</si>
  <si>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</si>
  <si>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</si>
  <si>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</si>
  <si>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</si>
  <si>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</si>
  <si>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</si>
  <si>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</si>
  <si>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</si>
  <si>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</si>
  <si>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</si>
  <si>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</si>
  <si>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</si>
  <si>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</si>
  <si>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</si>
  <si>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</si>
  <si>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</si>
  <si>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</si>
  <si>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</si>
  <si>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</si>
  <si>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</si>
  <si>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</si>
  <si>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</si>
  <si>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</si>
  <si>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</si>
  <si>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</si>
  <si>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</si>
  <si>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</si>
  <si>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</si>
  <si>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</si>
  <si>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</si>
  <si>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</si>
  <si>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</si>
  <si>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</si>
  <si>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</si>
  <si>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</si>
  <si>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</si>
  <si>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</si>
  <si>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</si>
  <si>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</si>
  <si>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</si>
  <si>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</si>
  <si>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</si>
  <si>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</si>
  <si>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</si>
  <si>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</si>
  <si>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</si>
  <si>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</si>
  <si>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</si>
  <si>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</si>
  <si>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</si>
  <si>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</si>
  <si>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</si>
  <si>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</si>
  <si>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</si>
  <si>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</si>
  <si>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</si>
  <si>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</si>
  <si>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</si>
  <si>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</si>
  <si>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</si>
  <si>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</si>
  <si>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</si>
  <si>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</si>
  <si>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</si>
  <si>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</si>
  <si>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</si>
  <si>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</si>
  <si>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</si>
  <si>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</si>
  <si>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</si>
  <si>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</si>
  <si>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</si>
  <si>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</si>
  <si>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</si>
  <si>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</si>
  <si>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</si>
  <si>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</si>
  <si>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</si>
  <si>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</si>
  <si>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</si>
  <si>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</si>
  <si>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</si>
  <si>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</si>
  <si>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</si>
  <si>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</si>
  <si>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</si>
  <si>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</si>
  <si>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</si>
  <si>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</si>
  <si>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</si>
  <si>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</si>
  <si>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</si>
  <si>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</si>
  <si>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</si>
  <si>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</si>
  <si>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</si>
  <si>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</si>
  <si>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</si>
  <si>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</si>
  <si>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</si>
  <si>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</si>
  <si>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</si>
  <si>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</si>
  <si>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</si>
  <si>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</si>
  <si>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</si>
  <si>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</si>
  <si>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</si>
  <si>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</si>
  <si>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</si>
  <si>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</si>
  <si>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</si>
  <si>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</si>
  <si>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</si>
  <si>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</si>
  <si>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</si>
  <si>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</si>
  <si>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</si>
  <si>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</si>
  <si>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</si>
  <si>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</si>
  <si>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</si>
  <si>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</si>
  <si>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</si>
  <si>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</si>
  <si>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</si>
  <si>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</si>
  <si>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</si>
  <si>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</si>
  <si>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</si>
  <si>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</si>
  <si>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</si>
  <si>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</si>
  <si>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</si>
  <si>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</si>
  <si>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</si>
  <si>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</si>
  <si>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</si>
  <si>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</si>
  <si>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</si>
  <si>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</si>
  <si>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</si>
  <si>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</si>
  <si>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</si>
  <si>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</si>
  <si>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</si>
  <si>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</si>
  <si>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</si>
  <si>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</si>
  <si>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</si>
  <si>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</si>
  <si>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</si>
  <si>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</si>
  <si>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</si>
  <si>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</si>
  <si>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</si>
  <si>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</si>
  <si>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</si>
  <si>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</si>
  <si>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</si>
  <si>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</si>
  <si>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</si>
  <si>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</si>
  <si>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</si>
  <si>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</si>
  <si>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</si>
  <si>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</si>
  <si>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</si>
  <si>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</si>
  <si>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</si>
  <si>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</si>
  <si>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</si>
  <si>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</si>
  <si>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</si>
  <si>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</si>
  <si>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</si>
  <si>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</si>
  <si>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</si>
  <si>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</si>
  <si>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</si>
  <si>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</si>
  <si>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</si>
  <si>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</si>
  <si>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</si>
  <si>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</si>
  <si>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</si>
  <si>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</si>
  <si>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</si>
  <si>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</si>
  <si>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</si>
  <si>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</si>
  <si>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</si>
  <si>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</si>
  <si>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</si>
  <si>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</si>
  <si>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</si>
  <si>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</si>
  <si>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</si>
  <si>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</si>
  <si>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</si>
  <si>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</si>
  <si>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</si>
  <si>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</si>
  <si>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</si>
  <si>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</si>
  <si>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</si>
  <si>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</si>
  <si>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</si>
  <si>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</si>
  <si>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</si>
  <si>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</si>
  <si>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</si>
  <si>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</si>
  <si>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</si>
  <si>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</si>
  <si>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</si>
  <si>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</si>
  <si>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</si>
  <si>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</si>
  <si>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</si>
  <si>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</si>
  <si>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</si>
  <si>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</si>
  <si>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</si>
  <si>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</si>
  <si>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</si>
  <si>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</si>
  <si>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</si>
  <si>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</si>
  <si>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</si>
  <si>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</si>
  <si>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</si>
  <si>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</si>
  <si>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</si>
  <si>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</si>
  <si>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</si>
  <si>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</si>
  <si>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</si>
  <si>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</si>
  <si>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</si>
  <si>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</si>
  <si>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</si>
  <si>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</si>
  <si>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</si>
  <si>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</si>
  <si>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</si>
  <si>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</si>
  <si>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</si>
  <si>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</si>
  <si>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</si>
  <si>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</si>
  <si>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</si>
  <si>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</si>
  <si>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</si>
  <si>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</si>
  <si>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</si>
  <si>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</si>
  <si>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</si>
  <si>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</si>
  <si>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</si>
  <si>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</si>
  <si>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</si>
  <si>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</si>
  <si>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</si>
  <si>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</si>
  <si>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</si>
  <si>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</si>
  <si>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</si>
  <si>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</si>
  <si>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</si>
  <si>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</si>
  <si>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</si>
  <si>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</si>
  <si>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</si>
  <si>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</si>
  <si>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</si>
  <si>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</si>
  <si>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</si>
  <si>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</si>
  <si>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</si>
  <si>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</si>
  <si>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</si>
  <si>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</si>
  <si>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</si>
  <si>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</si>
  <si>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</si>
  <si>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</si>
  <si>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</si>
  <si>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</si>
  <si>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</si>
  <si>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</si>
  <si>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</si>
  <si>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</si>
  <si>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</si>
  <si>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</si>
  <si>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</si>
  <si>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</si>
  <si>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</si>
  <si>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</si>
  <si>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</si>
  <si>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</si>
  <si>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</si>
  <si>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</si>
  <si>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</si>
  <si>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</si>
  <si>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</si>
  <si>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</si>
  <si>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</si>
  <si>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</si>
  <si>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</si>
  <si>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</si>
  <si>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</si>
  <si>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</si>
  <si>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</si>
  <si>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</si>
  <si>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</si>
  <si>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</si>
  <si>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</si>
  <si>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</si>
  <si>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</si>
  <si>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</si>
  <si>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</si>
  <si>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</si>
  <si>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</si>
  <si>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</si>
  <si>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</si>
  <si>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</si>
  <si>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</si>
  <si>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</si>
  <si>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</si>
  <si>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</si>
  <si>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</si>
  <si>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</si>
  <si>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</si>
  <si>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</si>
  <si>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</si>
  <si>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</si>
  <si>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</si>
  <si>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</si>
  <si>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</si>
  <si>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</si>
  <si>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</si>
  <si>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</si>
  <si>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</si>
  <si>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</si>
  <si>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</si>
  <si>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</si>
  <si>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</si>
  <si>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</si>
  <si>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</si>
  <si>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</si>
  <si>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</si>
  <si>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</si>
  <si>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</si>
  <si>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</si>
  <si>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</si>
  <si>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</si>
  <si>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</si>
  <si>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</si>
  <si>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</si>
  <si>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</si>
  <si>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</si>
  <si>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</si>
  <si>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</si>
  <si>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</si>
  <si>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</si>
  <si>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</si>
  <si>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</si>
  <si>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</si>
  <si>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</si>
  <si>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</si>
  <si>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</si>
  <si>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</si>
  <si>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</si>
  <si>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</si>
  <si>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</si>
  <si>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</si>
  <si>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</si>
  <si>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</si>
  <si>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</si>
  <si>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</si>
  <si>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</si>
  <si>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</si>
  <si>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</si>
  <si>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</si>
  <si>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</si>
  <si>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</si>
  <si>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</si>
  <si>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</si>
  <si>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</si>
  <si>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</si>
  <si>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</si>
  <si>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</si>
  <si>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</si>
  <si>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</si>
  <si>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</si>
  <si>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</si>
  <si>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PLAN ANUAL DE ADQUISICIONES VIGENCIA 2023 - ICFE</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</si>
  <si>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</si>
  <si>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</si>
  <si>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</si>
  <si>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</si>
  <si>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</si>
  <si>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</si>
  <si>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</si>
  <si>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</si>
  <si>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</si>
  <si>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</si>
  <si>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</si>
  <si>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</si>
  <si>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</si>
  <si>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</si>
  <si>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</si>
  <si>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</si>
  <si>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</si>
  <si>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</si>
  <si>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</si>
  <si>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</si>
  <si>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</si>
  <si>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 xml:space="preserve">MAQUINARIA DE INFORMÁTICA Y SUS PARTES, PIEZAS Y ACCESORIOS </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</si>
  <si>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</si>
  <si>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</si>
  <si>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</si>
  <si>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</si>
  <si>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</si>
  <si>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</si>
  <si>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</si>
  <si>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</si>
  <si>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</si>
  <si>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</si>
  <si>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</si>
  <si>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</si>
  <si>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</si>
  <si>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</si>
  <si>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</si>
  <si>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</si>
  <si>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</si>
  <si>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</si>
  <si>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</si>
  <si>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</si>
  <si>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</si>
  <si>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</si>
  <si>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</si>
  <si>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</si>
  <si>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</si>
  <si>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</si>
  <si>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</si>
  <si>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</si>
  <si>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</si>
  <si>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</si>
  <si>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</si>
  <si>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</si>
  <si>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</si>
  <si>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</si>
  <si>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</si>
  <si>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</si>
  <si>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</si>
  <si>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</si>
  <si>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</si>
  <si>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</si>
  <si>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</si>
  <si>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</si>
  <si>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</si>
  <si>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</si>
  <si>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</si>
  <si>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</si>
  <si>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</si>
  <si>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</si>
  <si>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</si>
  <si>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 xml:space="preserve">ADQUISICIÓN DE LICENCIAS MICROSOFT OFFICE </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</si>
  <si>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</si>
  <si>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</si>
  <si>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</si>
  <si>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</si>
  <si>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</si>
  <si>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</si>
  <si>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</si>
  <si>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</si>
  <si>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</si>
  <si>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</si>
  <si>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</si>
  <si>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</si>
  <si>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</si>
  <si>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</si>
  <si>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</si>
  <si>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</si>
  <si>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</si>
  <si>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</si>
  <si>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</si>
  <si>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</si>
  <si>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PRESTAR CON PLENA AUTONOMIA ADMINISTRATIVA LOS SERVICIOS PROFESIONALES DE UN ABOGADO ESPECIALISTA AL GRUPO DE ADQUISICIÓN DE BIENES Y SERVICIOS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 (PROFESIONAL ESPECIALIZADO)</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</si>
  <si>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</si>
  <si>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</si>
  <si>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</si>
  <si>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</si>
  <si>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</si>
  <si>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</si>
  <si>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</si>
  <si>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</si>
  <si>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</si>
  <si>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</si>
  <si>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</si>
  <si>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</si>
  <si>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</si>
  <si>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</si>
  <si>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ACTUALIZACIONES CON SOPORTE PARA LA PLATAFORMA DE SISTEMA DE GESTION DOCUMENTAL</t>
  </si>
  <si>
    <t>81111801
81101505</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</si>
  <si>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</si>
  <si>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</si>
  <si>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</si>
  <si>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</si>
  <si>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</si>
  <si>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</si>
  <si>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</si>
  <si>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</si>
  <si>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</si>
  <si>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SERVICIOS DE CENTROS DE LLAMADAS TELEFÓNICAS (CALL CENTER)</t>
  </si>
  <si>
    <t>43231500
81161700</t>
  </si>
  <si>
    <t>MINIMA CUANTÍA</t>
  </si>
  <si>
    <t>81101700 - 81112300 - 81111812</t>
  </si>
  <si>
    <t>MANTENIMIENTO CORRECTIVO Y PREVENTIVO A TODO COSTO DE LOS COMPUTADORES, IMPRESORAS Y ELEMENTOS DE HARDWARE QUE COMPONEN LA INFRAESTRUCTURA TECNOLÓGICA Y  EQUIPOS ACTIVOS DE RED CON BOLSA DE REPUESTOS.</t>
  </si>
  <si>
    <t>72101500
72154000
72151500
81101600
81101700</t>
  </si>
  <si>
    <t>MANTENIMIENTO PREVENTIVO Y CORRECTIVO A TODO COSTO DE LOS ASCENSORES DE LOS DIFERENTES EDIFICIOS DE VIVIENDAS FISCALES Y SEDE ADMINISTRATIVA EN BOGOTÁ (Para tramitar vigencias futuras del 2023-2024)</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</si>
  <si>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</si>
  <si>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</si>
  <si>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</si>
  <si>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</si>
  <si>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</si>
  <si>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</si>
  <si>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</si>
  <si>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SERVICIOS DE CAPACITACIÓN PARA EL PERSONAL EMPLEADOS PÚBLICOS Y TRABAJADORES OFICIALES DEL ICFE</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</si>
  <si>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</si>
  <si>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</si>
  <si>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</si>
  <si>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</si>
  <si>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</si>
  <si>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</si>
  <si>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NOVIEMBRE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</si>
  <si>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</si>
  <si>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</si>
  <si>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</si>
  <si>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</si>
  <si>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</si>
  <si>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</si>
  <si>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</si>
  <si>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</si>
  <si>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ORDEN DE COMPRA</t>
  </si>
  <si>
    <t>72101500
72154000</t>
  </si>
  <si>
    <t>MANTENIMIENTO PREVENTIVO Y CORRECTIVO A TODO COSTO DE LOS ASCENSORES DE LOS DIFERENTES EDIFICIOS DE VIVIENDAS FISCALES EN BOGOTÁ (Para tramitar vigencias futuras del 2023-2024)</t>
  </si>
  <si>
    <t>MANTENIMIENTO PREVENTIVO Y CORRECTIVO A TODO COSTO DE LOS CUARTOS DE MAQUINAS Y LAS MOTOBOMBAS DE LAS VIVIENDAS FISCALES A NIVEL NACIONAL (Para tramitar vigencias futuras del 2023-2024)</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</si>
  <si>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</si>
  <si>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</si>
  <si>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</si>
  <si>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</si>
  <si>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</si>
  <si>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</si>
  <si>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SERVICIOS DE SEGUROS SOCIALES DE SALUD Y RIESGOS LABORALES </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</si>
  <si>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</si>
  <si>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</si>
  <si>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</si>
  <si>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</si>
  <si>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</si>
  <si>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</si>
  <si>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SERVICIO DE VIGILANCIA Y SEGURIDAD PRIVADA SIN ARMAS PARA EL CONJUNTO RESIDENCIAL “HEROES DE COLOMBIA” EN LA CIUDAD DE BOGOTÁ  (Para tramitar vigencias futuras del 2023-2024)</t>
  </si>
  <si>
    <t>MENOR CUANTIA</t>
  </si>
  <si>
    <t>SERVICIOS DE LIMPIEZA Y ASEO DE AREAS COMUNES DE VIVIENDAS FISCALES DE LAS SECCIONALES BUCARAMANGA, CALI, TOLEMAIDA Y VILLAVICENCIO (Para tramitar vigencias futuras del 2023-2024)</t>
  </si>
  <si>
    <t>SERVICIOS DE LIMPIEZA Y ASEO DE ÁREAS COMUNES DE VIVIENDAS
FISCALES DE LA CIUDAD DE BOGOTÁ (Para tramitar vigencias futuras del 2023-2024)</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</si>
  <si>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</si>
  <si>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</si>
  <si>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</si>
  <si>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</si>
  <si>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</si>
  <si>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</si>
  <si>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</si>
  <si>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IMPUESTO PREDIAL</t>
  </si>
  <si>
    <t>CONTABILIDAD</t>
  </si>
  <si>
    <t>CONTRIBUCION DE VALORIZACION MUNICIPAL</t>
  </si>
  <si>
    <t>C</t>
  </si>
  <si>
    <t>INVERSION</t>
  </si>
  <si>
    <t>1505</t>
  </si>
  <si>
    <t>GENERACIÓN DE BIENESTAR PARA LA FUERZA PÚBLICA Y SUS FAMILIAS</t>
  </si>
  <si>
    <t>0100</t>
  </si>
  <si>
    <t>INTERSUBSECTORIAL DEFENSA Y SEGURIDAD</t>
  </si>
  <si>
    <t>CONSTRUCCION DE VIVIENDA FISCAL A NIVEL NACIONAL</t>
  </si>
  <si>
    <t>72101500
72111100
72141500</t>
  </si>
  <si>
    <t xml:space="preserve">Construcción de un edificio de Viivenda Fiscal de 5 pisos y 20 apartamentos en Cucuta. </t>
  </si>
  <si>
    <t>Licitación pública</t>
  </si>
  <si>
    <t>Grupo Proyectos de Inversión</t>
  </si>
  <si>
    <t>C-1505-0100-4</t>
  </si>
  <si>
    <t xml:space="preserve">Interventoría Construcción de un edificio de  Viivenda Fiscal de 5 pisos y 20 apartamentos en Cucuta. </t>
  </si>
  <si>
    <t>Concurso de Méritos</t>
  </si>
  <si>
    <t>Construcción de la fase I de un edificio de Vivienda Fiscal de 10 pisos y 60 apartamentos en Puente Aranda</t>
  </si>
  <si>
    <t>48 MESES</t>
  </si>
  <si>
    <t>Interventoría Construcción de la fase I de un edificio de Viivenda Fiscal de 10 pisos y 60 apartamentos en Puente Aranda</t>
  </si>
  <si>
    <t>Estudios preliminares y diseños proyectos de construccion ICFE</t>
  </si>
  <si>
    <t>Pasajes terrestres o aereos para viajes a las seccionales de las construcciones</t>
  </si>
  <si>
    <t>MANTENIMIENTO RECUPERATIVO Y ESTRUCTURAL DE VIVIENDAS FISCALES Y SUS AREAS COMUNES A NIVEL NACIONAL</t>
  </si>
  <si>
    <t>Mantenimiento edificio Santa Barbara  - Cantón de Artillería-Bogotá</t>
  </si>
  <si>
    <t>Licitación Pública</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</si>
  <si>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</si>
  <si>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</si>
  <si>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</si>
  <si>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</si>
  <si>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</si>
  <si>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</si>
  <si>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Mantenimiento Edificio BIOSP (20 aptos) – Bello - Antioquia</t>
  </si>
  <si>
    <t>Interventoría Mantenimiento edificio Edificio BIOSP (20 aptos) – Bello - Antioquia</t>
  </si>
  <si>
    <t>Independización de servicios públicos</t>
  </si>
  <si>
    <t>FORTALECIMIENTO DE LA GESTIÓN Y DIRECCIÓN DEL SECTOR DEFENSA Y SEGURIDAD</t>
  </si>
  <si>
    <t>CONSTRUCCION Y DOTACION DEL ARCHIVO CENTRAL E HISTORICO DEL INSTITUTO DE CASAS FISCALES DEL EJERCITO A NIVEL  NACIONAL</t>
  </si>
  <si>
    <t>C-1599-0100-1</t>
  </si>
  <si>
    <t>PLAN ANUAL DE ADQUISICIONES VIGENCIA 2024 - ICFE</t>
  </si>
  <si>
    <t>¿Se requieren vigencias futuras del 2025?</t>
  </si>
  <si>
    <t xml:space="preserve">03 MESES </t>
  </si>
  <si>
    <t xml:space="preserve">11 MESES </t>
  </si>
  <si>
    <t>02 MESES</t>
  </si>
  <si>
    <t xml:space="preserve">3 MESES </t>
  </si>
  <si>
    <t xml:space="preserve">ENERO </t>
  </si>
  <si>
    <t>Enero</t>
  </si>
  <si>
    <t>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t>
  </si>
  <si>
    <t>2 Meses</t>
  </si>
  <si>
    <t>12 Meses</t>
  </si>
  <si>
    <t>JUNIO</t>
  </si>
  <si>
    <t>SERVICIO DE MANTENIMIENTO PREVENTIVO Y CORRECTIVO DE LOS SISTEMAS: NEUMATICO, VENTILACION MECÁNICA y CONTRA INCENDIO DEL EDIFICIO DE TALLERES DEL ICFE</t>
  </si>
  <si>
    <t>11 Meses</t>
  </si>
  <si>
    <t>11 meses</t>
  </si>
  <si>
    <t>4 meses</t>
  </si>
  <si>
    <t>7 meses</t>
  </si>
  <si>
    <t>VALOR VIGENCIA 2024</t>
  </si>
  <si>
    <t>Valor vigencias futuras 2025</t>
  </si>
  <si>
    <t>Topes PAA V34</t>
  </si>
  <si>
    <t>PLANTAS ESTIMULANTES, AROMÁTICAS Y ESPECIAS</t>
  </si>
  <si>
    <t>AZÚCAR Y MELAZA</t>
  </si>
  <si>
    <t>SERVICIOS DE CONSULTORÍA EMPRESARIAL</t>
  </si>
  <si>
    <t xml:space="preserve">SERVICIOS DE CONSULTORÍA Y SOPORTE  EN TECNOLOGÍAS DE LA INFORMACIÓN (TI) </t>
  </si>
  <si>
    <t>COMERCIO Y DISTRIBUCION; ALOJAMIENTO; SERVICIOS DE SUMINISTRO DE COMIDAS Y BEBIDAS; SERVICIOS DE TRANSPORTE; Y SERVICIOS DE DISTRIBUCIÓN DE ELECTRICIDAD, GAS Y AGUA</t>
  </si>
  <si>
    <t>SERVICIOS DE SEGUROS Y PENSIONES (EXCEPTO LOS SERVICIOS DE REASEGURO Y DE SEGURIDAD SOCIAL DE AFILIACION OBLIGATORIA)</t>
  </si>
  <si>
    <t>SERVICIOS DE SEGUROS SOCIALES  DE PROTECCION DE OTROS RIESGOS SOCIALES (EXCEPTO LOS SERVICIOS DE SEGURIDAD SOCIAL DE AFILIACION OBLIGATORIA)</t>
  </si>
  <si>
    <t>SERVICIOS PROFESIONALES, CIENTÍFICOS Y TÉCNICOS (EXCEPTO LOS SERVICIOS DE INVESTIGACIÓN, URBANISMO, JURÍDICOS Y DE CONTABILIDAD)</t>
  </si>
  <si>
    <t>CONSTRUCCIÓN DE VIVIENDAS FISCALES Y SUS ÁREAS COMUNES A NIVEL  NACIONAL</t>
  </si>
  <si>
    <t>20109B</t>
  </si>
  <si>
    <t>COMERCIO Y DISTRIBUCIÓN; ALOJAMIENTO; SERVICIOS DE SUMINISTRO DE COMIDAS Y BEBIDAS; SERVICIOS DE TRANSPORTE; Y SERVICIOS DE DISTRIBUCIÓN DE ELECTRICIDAD, GAS Y AGUA</t>
  </si>
  <si>
    <t>SERVICIOS PROFESIONALES, CIENTÍFICOS Y TÉCNICOS (EXCEPTO LOS SERVICIOS DE INVESTIGACION, URBANISMO, JURÍDICOS Y DE CONTABILIDAD)</t>
  </si>
  <si>
    <t>SERVICIOS DE TELECOMUNICACIONES VÍA INTERNET</t>
  </si>
  <si>
    <t>SERVICIOS DE MANTENIMIENTO Y REPARACIÓN DE COMPUTADORES Y EQUIPOS PERIFÉRICOS</t>
  </si>
  <si>
    <t>SERVICIOS RECREATIVOS, CULTURALES Y DEPORTIVOS</t>
  </si>
  <si>
    <t>PASTA O PULPA, PAPEL Y PRODUCTOS DE PAPEL; IMPRESOS Y ARTÍCULOS SIMILARES</t>
  </si>
  <si>
    <t>ANTEPROYECTO PLAN ANUAL DE ADQUISICIONES VIGENCIA 2025 - ICFE</t>
  </si>
  <si>
    <t>Techos proyecto de presupuesto 2025</t>
  </si>
  <si>
    <t>¿Se requieren vigencias futuras del 2026?</t>
  </si>
  <si>
    <t>Valor vigencias futuras 2026</t>
  </si>
  <si>
    <t xml:space="preserve">ADQUISICION DE  MAQUINARIA Y EQUIPO DE TOPOGRAFIA PARA EL INSTITUTO DE CASAS FISCALES DEL EJÉRCITO </t>
  </si>
  <si>
    <t xml:space="preserve">43222600 - 43222612 </t>
  </si>
  <si>
    <t>EQUIPO DE SERVICIO DE RED</t>
  </si>
  <si>
    <t>COMPUTADORES</t>
  </si>
  <si>
    <t>46181500
46181600
46181700
46181800
46181900
46182000
46182300
53102700
53103100
53111500</t>
  </si>
  <si>
    <t>SUBASTA  INVERSA</t>
  </si>
  <si>
    <t>GRANDES SUPERFICIES</t>
  </si>
  <si>
    <t xml:space="preserve">46191500
46191600
72101509 </t>
  </si>
  <si>
    <t>CERTIFICADOS DIGITALES PARA LAS FIRMAS DE CONTRATOS DE ARRENDAMIENTO EN BOGOTÁ Y A NIVEL NACIONAL</t>
  </si>
  <si>
    <t>43231512 - 81112501</t>
  </si>
  <si>
    <t xml:space="preserve">RENOVACION DE LICENCIAS DE ANTIVIRUS </t>
  </si>
  <si>
    <t xml:space="preserve">ADQUISICION Y RENOVACION DE LICENCIAS DE APOYO ADMINISTRATIVO </t>
  </si>
  <si>
    <t>SOLUCION DE CORREO ELECTRONICO</t>
  </si>
  <si>
    <t>78111500 90121600</t>
  </si>
  <si>
    <t xml:space="preserve">ACUERDO MARCO DE PRECIOS </t>
  </si>
  <si>
    <t>80101500-80121601-80121609-80121704</t>
  </si>
  <si>
    <t>PRESTAR CON PLENA AUTONOMIA ADMINISTRATIVA LOS SERVICIOS PROFESIONALES DE UN ABOGADO ESPECIALIZADO EN APOYO A LA OFICINA DE ASESORÍA JURÍDICA DEL INSTITUTO DE CASAS FISCALES DEL EJÉRCITO NACIONAL</t>
  </si>
  <si>
    <t>enero</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</si>
  <si>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</si>
  <si>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</si>
  <si>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SERVICIOS DE UN PROFESIONAL PARA APOYO OFICINA DE CONTROL INTERNO PARA AUDITORÍAS Y SEGUIMIENTOS A LA GESTION MISIONAL DE LA ENTIDAD </t>
  </si>
  <si>
    <t>CONTRATACIÓN DIRECTA </t>
  </si>
  <si>
    <t>PRESTACION DE SERVICIOS PROFESIONALES COMO CONTADOR PUBLICO EN LA OFICINA DE CONTROL INTERNO PARA LA REALIZACION DE AUDITORIAS Y SEGUIMIENTOS DESDE EL ENFOQUE CONTABLE, FINANCIERO Y PRESUPUESTAL.</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</si>
  <si>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</si>
  <si>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</si>
  <si>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</si>
  <si>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</si>
  <si>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PRESTAR  LOS SERVICIOS PROFESIONALES DE INGENIERÍA DE SISTEMAS COMO DESARROLLADOR DE SOFTWARE - ARQUITECTO  PARA EL GRUPO TIC´S</t>
  </si>
  <si>
    <t xml:space="preserve">SOPORTE Y MANTENIMIENTO ERP SAP </t>
  </si>
  <si>
    <t>80101500-80101601-80101604-93151501-93151603</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</si>
  <si>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</si>
  <si>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</si>
  <si>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</si>
  <si>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(PROFESIONAL ESPECIALIZADO)</t>
  </si>
  <si>
    <t>PRESTACIÓN DE SERVICIOS PROFESIONALES APLICACIÓN BATERIA RIESGO PSICOSOCIAL FUCIONARIOS ICFE</t>
  </si>
  <si>
    <t>PRESTACIÓN DE SERVICIO PARA APOYO ADMINISTRATIVO AL ÁREA DE GESTIÓN DOCUMENTAL</t>
  </si>
  <si>
    <t>CANAL DEDICADO A INTERNET (SERVICIO DE CONECTIVIDAD A INTERNET Y ENLACE DEDICADO DE DATOS) (Para tramitar vigencias futuras del 2025)</t>
  </si>
  <si>
    <t>MANTENIENTO Y ACTUALIZACIÓN DEL SISTEMA DE CALL CENTER PARA EL INSTITUTO DE CASAS FISCALES DEL EJÉRCITO.</t>
  </si>
  <si>
    <t>78181500 25171700 25173900 25173700</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</si>
  <si>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</si>
  <si>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</si>
  <si>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MANTENIMIENTO PREVENTIVO Y CORRECTIVO A TODO COSTO DE LOS CUARTOS DE MAQUINAS Y LAS MOTOBOMBAS DE LAS SECCIONALES DEL INSTITUTO DE CASAS FISCALES DEL EJERCITO A NIVEL NACIONAL Y SU SEDE ADMINISTRATIVA EN LA CIUDAD DE BOGOTA (Vigencias futuras 2024)</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</si>
  <si>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</si>
  <si>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</si>
  <si>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SUBASTA INVERSA </t>
  </si>
  <si>
    <t xml:space="preserve">24112400
30162300
46170000
46171600
46190000
46191500
46191600 
</t>
  </si>
  <si>
    <t xml:space="preserve">
55100000
55101520
55120000
55121500
55121600
55121700
55121900
82101500
</t>
  </si>
  <si>
    <t xml:space="preserve">24101510
47121702
</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</si>
  <si>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</si>
  <si>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</si>
  <si>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</si>
  <si>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</si>
  <si>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</si>
  <si>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</si>
  <si>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</si>
  <si>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RENOVACION DEL CIRCUITO CERRADO DE TELEVISION EN LOS CONJUNTOS RESIDENCIALES Y LA SEDE ADMINISTRATIVA DEL INSTITUTO DE CASAS FISCALES DEL EJÉRCITO UBICADOS EN LA CIUDAD DE BOGOTÁ</t>
  </si>
  <si>
    <t xml:space="preserve">ADQUISICION E INSTALACION DEL CIRCUITO CERRADO DE TELEVISION DE LA SECCIONAL DE YOPAL DEL INSTITUTO DE CASAS FISCALES DEL EJÉRCITO </t>
  </si>
  <si>
    <t>PRESTACION DE SERVICIOS TÉCNICOS DE INSTALACIONES ELÉCTRICAS DOMICILIARIAS PARA LAS VIVIENDAS FISCALES DEL ICFE</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</si>
  <si>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</si>
  <si>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</si>
  <si>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</si>
  <si>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SERVICIO DE VIGILANCIA Y SEGURIDAD PRIVADA SIN ARMAS PARA EL CONJUNTO RESIDENCIAL “HEROES DE COLOMBIA” EN LA CIUDAD DE BOGOTÁ  (Para tramitar vigencias futuras del 2024-2025)</t>
  </si>
  <si>
    <t>SERVICIO DE VIGILANCIA Y SEGURIDAD PRIVADA SIN ARMAS PARA EL CONJUNTO RESIDENCIAL “HEROES DE COLOMBIA” EN LA CIUDAD DE BOGOTÁ (Vigencias futuras del 2023-2024)</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</si>
  <si>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</si>
  <si>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</si>
  <si>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</si>
  <si>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</si>
  <si>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</si>
  <si>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</si>
  <si>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</si>
  <si>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</si>
  <si>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LICITACION  PUBLICA</t>
  </si>
  <si>
    <t xml:space="preserve">CONCURSO DE MERITOS </t>
  </si>
  <si>
    <t>Construcción de un edificio de Vivienda Fiscal de 10 pisos y 60 apartamentos en Puente Aranda- Bogota</t>
  </si>
  <si>
    <t>Interventoría Construcción de un edificio de Viivenda Fiscal de 10 pisos y 60 apartamentos en Puente Aranda- Bogota</t>
  </si>
  <si>
    <t xml:space="preserve">Gastos de alojamiento y alimentacion para personal </t>
  </si>
  <si>
    <t>81101500 80101500
80121601
80121609
80121704</t>
  </si>
  <si>
    <t>Realizar la obra para la construcción de dos edificios de vivienda fiscal en el fuerte militar de Tolemaida</t>
  </si>
  <si>
    <t>Realizar la interventoría para la construcción de dos edificios de vivienda fiscal en el fuerte militar de Tolemaida</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</si>
  <si>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</si>
  <si>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</si>
  <si>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</si>
  <si>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</si>
  <si>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</si>
  <si>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</si>
  <si>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</si>
  <si>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</si>
  <si>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</si>
  <si>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</si>
  <si>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</si>
  <si>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</si>
  <si>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</si>
  <si>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</si>
  <si>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</si>
  <si>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</si>
  <si>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</si>
  <si>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</si>
  <si>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</si>
  <si>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Caja menor</t>
  </si>
  <si>
    <t xml:space="preserve">43222600 - 
43222612 </t>
  </si>
  <si>
    <t xml:space="preserve">ADQUISICION DE EQUIPOS DE COMPUTO Y PERIFERICOS PARA DEL INSTITUTO DE CASAS FISCALES DEL EJÉRCITO
 </t>
  </si>
  <si>
    <t>ADQUISICIÓN DE LICENCIAMIENTO, IMPLEMENTACIÓN, CONFIGURACIÓN, PERSONALIZACIÓN, DESARROLLO, LOCALIZACIÓN COLOMBIANA (FACTURACIÓN Y NOMINA ELECTRÓNICA, DOCUMENTO SOPORTE) Y SOPORTE SOBRE LOS MÓDULOS IMPLEMENTADOS PARA EL INSTITUTO DE CASAS FISCALES DEL EJERCITO</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</si>
  <si>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</si>
  <si>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46182304
46182306
46182311
46182314</t>
  </si>
  <si>
    <t>ELEMENTOS DE PROTECCIÓN CONTRA CAÍDAS</t>
  </si>
  <si>
    <t>81111800 -
81111500</t>
  </si>
  <si>
    <t>ACTUALIZACIÓN DE LICENCIAMIENTO DE ANTIVIRUS INFORMÁTICO PARA EL INSTITUTO DE CASAS FISCALES DEL EJÉRCITO</t>
  </si>
  <si>
    <t>ADQUISICIÓN Y RENOVACIÓN DE LICENCIAMIENTO DE SOFTWARE DE DIFERENTES HERRAMIENTAS COMO APOYO A LOS DIFERENTES PROCESOS DEL INSTITUTO DE CASAS FISCALES DEL EJÉRCITO</t>
  </si>
  <si>
    <t>ADQUISICION DE LICENCIAMIENTO PARA LA INTEGRACIÓN DE FIRMAS ELECTRONICAS</t>
  </si>
  <si>
    <t>ADQUISICIÓN DE LICENCIAMIENTO DE SOFTWARE DE MICROSOFT PARA EL INSTITUTO DE CASAS FISCALES DEL EJÉRCITO</t>
  </si>
  <si>
    <t>SERVICIOS FINANCIEROS Y SERVICIOS CONEXOS, SERVICIOS INMOBILIARIOS Y SERVICIOS DE ARRENDAMIENTO Y LEASING</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</si>
  <si>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</si>
  <si>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</si>
  <si>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PRESTAR CON PLENA AUTONOMIA LOS SERVICIOS PROFESIONALES DE UN INGENIERO DE SISTEMAS PARA EL SOPORTE DE LA BASE DE DATOS DE LA PLATAFORMA SAIMF PARA EL GRUPO DEL INSTITUTO DE CASAS FISCALES DEL EJÉRCITO</t>
  </si>
  <si>
    <t xml:space="preserve">4 MESES </t>
  </si>
  <si>
    <t>PRESTAR CON PLENA AUTONOMIA ADMINISTRATIVA LOS SERVICIOS
PROFESIONALES DE UN INGENIERO ELECTRONICO PARA APOYAR EN EL DESARROLLO DE COMPONENTES WEB, PARA EL SOFTWARE DEL GRUPO DE INFORMÁTICA Y TIC´S DEL INSTITUTO DE CASAS FISCALES DEL EJÉRCITO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</si>
  <si>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</si>
  <si>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5 MESES </t>
  </si>
  <si>
    <t>PRESTAR CON PLENA AUTONOMIA ADMINISTRATIVA LOS SERVICIOS PROFESIONALES DE UN INGENIERO EN MECATRÓNICA O A FINES  COMO DESARROLLADOR DE SOFTWARE - FRONTEND PARA EL GRUPO DEL INSTITUTO DE CASAS FISCALES DEL EJÉRCITO</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</si>
  <si>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</si>
  <si>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</si>
  <si>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</si>
  <si>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LOS SERVICIOS PROFESIONALES COMO DESARROLLADOR DE SOFTWARE - BACKEND  PARA EL GRUPO TIC´S</t>
  </si>
  <si>
    <t>PRESTAR LOS SERVICIOS PROFESIONALES EN LEVANTAMIENTO DE INFORMACIÓN PARA EL GRUPO TIC´S</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</si>
  <si>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</si>
  <si>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5 MESES  </t>
  </si>
  <si>
    <t>ACTUALIZACIÓN, SOPORTE Y VERSIONAMIENTO PARA LA PLATAFORMA DE GESTIÓN DOCUMENTAL DEL INSTITUTO DE CASAS FISCALES DEL EJERCITO.</t>
  </si>
  <si>
    <t>CONTRATAR EL SERVICIO PROFESIONAL DE REVISORIA FISCAL EN CUMPLIMIENTO A LAS POLITICAS DEL BUEN GOBIERNO ESTABLECIDAS POR LA PRESIDENCIA DE LA REPUBLICA</t>
  </si>
  <si>
    <t>81111801
81101505</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</si>
  <si>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</si>
  <si>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</si>
  <si>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</si>
  <si>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 xml:space="preserve">JULIO </t>
  </si>
  <si>
    <t>PRESTAR CON PLENA AUTONOMIA ADMINISTRATIVA LOS SERVICIOS PROFESIONALES DE UN PSICÓLOGO PARA EL DESARROLLO Y SEGUIMIENTO DEL PLAN DE INTERVENCIÓN DE LOS FACTORES DE RIESGO PSICOSOCIAL DE LOS FUNCIONARIOS INSTITUTO DE CASAS FISCALES DEL EJÉRCITO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</si>
  <si>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</si>
  <si>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CON PLENA AUTONOMÍA ADMINISTRATIVA LOS SERVICIOS
TECNOLÓGICOS DEL ÁREA APOYANDO EL ANÁLISIS, DEPURACIÓN Y COMPROBACIÓN DE LA CARTERA DE LOS USUARIOS DEL INSTITUTO
DE CASAS FISCALES DEL EJERCITO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</si>
  <si>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</si>
  <si>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PROCESO DE SELECCIÓN DEFENSA 3</t>
  </si>
  <si>
    <t>MANTENIMIENTO PREVENTIVO Y CORRECTIVO DE PERIFERICOS Y EQUIPOS TECNOLOGICOS CON BOLSA DE REPUESTOS NUEVOS Y ORIGINALES QUE COMPONEN LA INFRAESTRUCTURA TECNOLOGICA DEL INSTITUTO DE CASAS FISCALES DEL EJÉRCITO</t>
  </si>
  <si>
    <t>MANTENIMIENTO PREVENTIVO Y CORRECTIVO CON SUMINISTRO E
INSTALACIÓN DE REPUESTOS, ASI COMO LA CERTIFICACIÓN DE ACUERDO A LA NORMA NTC 5926-1:2021 DE LOS ASCENSORES DEL ICFE (Para tramitar vigencias futuras del 2024-2025 - V2)</t>
  </si>
  <si>
    <t>2 meses</t>
  </si>
  <si>
    <t>MANTENIMIENTO CORRECTIVO, PREVENTIVO Y CALIBRACION A
TODO COSTO DE LOS EQUIPOS DE TOPOGRAFIA DEL ICFE</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</si>
  <si>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</si>
  <si>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SERVICIOS DE CAPACITACIÓN PARA EL PERSONAL EMPLEADOS PÚBLICOS DEL INSTITUTO DE CASAS FISCALES DEL EJÉRCITO</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</si>
  <si>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</si>
  <si>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 xml:space="preserve">55100000
55101500
55101520
55120000
55121500
55121600
55121700
55121900
82101500
</t>
  </si>
  <si>
    <t>30191500
30191600
30241500</t>
  </si>
  <si>
    <t>ADQUISICIÓN DE ANDAMIOS MULTIDIRECCIONALES CERTIFICADOS PARA EL INSTITUTO DE CASAS FISCALES DEL EJERCITO A NIVEL  NACIONAL</t>
  </si>
  <si>
    <t>24112400
30162300
46171600
46191500
46191600</t>
  </si>
  <si>
    <t>GABINETES CONTRA INCENDIO (CASAS FISCALES)</t>
  </si>
  <si>
    <t>MANTENIMIENTO PREVENTIVO Y CORRECTIVO CON SUMINISTRO E INSTALACIÓN DE REPUESTOS, ASI COMO LA CERTIFICACIÓN DE ACUERDO A LA NORMA NTC 5926-1:2021  DE LOS ASCENSORES DEL ICFE (Para tramitar vigencias futuras del 2024-2025 - V2)</t>
  </si>
  <si>
    <t>MANTENIMIENTO PREVENTIVO Y CORRECTIVO DEL CIRCUITO CERRADO DE LOS CONJUNTOS RESIDENCIALES (LIBERTADORES, BACATA Y HEROES) DEL INSTITUTO DE CASAS FISCALES DEL EJÉRCITO UBICADOS EN LA CIUDAD DE BOGOTÁ</t>
  </si>
  <si>
    <t>PRESTACION DE SERVICIOS DE ACTIVIDADES DE INSTALACION Y
MANTENIMIENTO DE INSTALACIONES ELÉCTRICAS DE LAS VIVIENDAS
FISCALES EN LA CIUDAD DE CALI</t>
  </si>
  <si>
    <t>30101800
72151200</t>
  </si>
  <si>
    <t>SERVICIO DE REPARACIÓN E INSTALACIÓN DE SHUT DE BASURAS PARA EL EDIFICIO JUANAMBU DEL CONJUNTO RESIDENCIAL SANTA ANA DEL ICFE</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</si>
  <si>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</si>
  <si>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</si>
  <si>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PRESTACIÓN DE SERVICIOS PROFESIONALES PARA LA ACTUALIZACIÓN DE LOS DOCUMENTOS DEL SISTEMA DE GESTION DE LA CALIDAD DEL ICFE</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</si>
  <si>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</si>
  <si>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PRESTACIÓN DE SERVICIOS PROFESIONALES Y DE APOYO A LA GESTIÓN EN LA SECCIÓN DE MANTENIMIENTO DEL INSTITUTO DE CASAS FISCALES DEL EJÉRCITO, EN TEMAS TÉCNICOS Y PRONÓSTICOS PARA LA ESTRUCTURACIÓN DE LOS PROCESOS DE CONTRATACIÓN PUBLICA</t>
  </si>
  <si>
    <t>SERVICIO DE VIGILANCIA Y SEGURIDAD PRIVADA SIN ARMAS PARA EL CONJUNTO RESIDENCIAL “HEROES DE COLOMBIA” EN LA CIUDAD DE BOGOTÁ. (Para tramitar vigencias futuras del 2024-2025 - V2)</t>
  </si>
  <si>
    <t>SERVICIOS DE LIMPIEZA Y ASEO DE AREAS COMUNES DE VIVIENDAS
FISCALES DE LA CIUDAD DE BOGOTA (Para tramitar Vigencias futuras 2024-2025 - V2)</t>
  </si>
  <si>
    <t>SERVICIOS DE LIMPIEZA Y ASEO DE AREAS COMUNES DE VIVIENDAS
FISCALES DE LAS SECCIONALES BUCARAMANGA, CALI, TOLEMAIDA Y VILLAVICENCIO (Para tramitar Vigencias futuras 2024-2025 - V2)</t>
  </si>
  <si>
    <t>CESANTIAS</t>
  </si>
  <si>
    <t>MANTENIMIENTO RECUPERATIVO Y ESTRUCTURAL DE VIVIENDAS FISCALES Y SUS AREAS COMUNES A NIVEL  NACIONAL</t>
  </si>
  <si>
    <t>2. SEGURIDAD HUMANA Y JUSTICIA SOCIAL / B. SISTEMA DE BIENESTAR INTEGRAL DE LA FUERZA PÚBLICA, SUS FAMILIAS Y DE LOS VETERANOS</t>
  </si>
  <si>
    <t>SERVICIOS DE ALOJAMIENTO</t>
  </si>
  <si>
    <t>ADQUIS. DE BYS - SERVICIOS DE ALOJAMIENTO - MANTENIMIENTO RECUPERATIVO Y ESTRUCTURAL DE VIVIENDAS</t>
  </si>
  <si>
    <t>Mantenimiento de cubiertas a nivel nacional</t>
  </si>
  <si>
    <t>Interventoría Mantenimiento de cubiertas a nivel nacional</t>
  </si>
  <si>
    <t>ADQUIS. DE BYS - SERVICIOS DE ALOJAMIENTO - CONSTRUCCIÓN DE VIVIENDAS FISCALES Y SUS ÁREAS COMUNES A NIVEL  NACIONAL</t>
  </si>
  <si>
    <t>Construcción de dos edificios de vivienda fiscal para el Personal de suboficiales en la seccional de Tolemaida</t>
  </si>
  <si>
    <t>17 MESES</t>
  </si>
  <si>
    <t>Interventoría técnica, administrativa, financiera, contable, jurídica, ambiental y de seguridad y salud en el trabajo para la construcción de dos edificios de vivienda fiscal para el personal de suboficiales en la seccional de Tolemaida</t>
  </si>
  <si>
    <t>Pago radicación de licencia de construcción proyecto Construcción edificio
Medellín, pago licencia de construcción, publicacion es y copias.</t>
  </si>
  <si>
    <t xml:space="preserve">PRESTAR CON PLENA AUTONOMIA ADMINISTRATIVA LOS SERVICIOS PROFESIONALES DE UN INGENIERO ELECTRÓNICO Y TELECOMUNICACIONES COMO DESARROLLADOR DE SOFTWARE - BACKEND PARA EL GRUPO DEL INSTITUTO DE CASAS FISCALES DEL EJÉRCITO
</t>
  </si>
  <si>
    <t>VALOR VIGENCIA 2025</t>
  </si>
  <si>
    <t>PLAN ANUAL DE ADQUISICIONES VIGENCIA 2025 - ICFE</t>
  </si>
  <si>
    <t>PRESUPUESTO 2025</t>
  </si>
  <si>
    <t>PRESTAR LOS SERVICIOS DE APOYO A LA GESTIÓN DE UN TÉCNOLOGO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</si>
  <si>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DE LOS SERVICIOS DE CAPACITACIÓN PARA EL PERSONAL DE SERVIDORES PÚBLICOS DEL INSTITUTO DE CASAS FISCALES DEL EJÉRCITO</t>
  </si>
  <si>
    <t xml:space="preserve">PRESTAR LOS SERVICIOS DE APOYO A LA GESTIÓN DE UN TÉCNOLOGO, PARA REALIZAR LAS ACTIVIDADES DE ANALISIS, DEPURACION Y COMPROBACIÓN DE LA CARTERA DE LOS USUARIOS DEL INSTITUTO DE CASAS FISCALES DEL EJERCITO </t>
  </si>
  <si>
    <t>PRESTACION DE SERVICIOS PROFESIONALES COMO INGENIERO CIVIL EN LA OFICINA DE CONTROL INTERNO PARA LA PREPARACIÓN Y EJECUCIÓN DE AUDITORIAS , ACTIVIDADES DE EVALUACIÓN Y SEGUIMIENTO PERMANENTE  A LOS PROCESOS DEL INSTITUTO DE CASAS FISCALES DEL EJERCITO</t>
  </si>
  <si>
    <t>PRESTACION DE SERVICIOS PROFESIONALES COMO ABOGADO EN LA OFICINA DE CONTROL INTERNO PARA LA PREPARACIÓN Y EJECUCIÓN DE AUDITORIAS , ACTIVIDADES DE EVALUACIÓN Y SEGUIMIENTO PERMANENTE  A LOS PROCESOS DEL INSTITUTO DE CASAS FISCALES DEL EJERCITO</t>
  </si>
  <si>
    <t>TESORERIA</t>
  </si>
  <si>
    <t>43222600 - 72103302</t>
  </si>
  <si>
    <t>ADQUISICIÓN, INSTALACIÓN Y CONFIGURACIÓN DE EQUIPOS SWITCH CORE PARA LA MEJORA DE LA INFRAESTRUCTURA DE RED PARA EL INSTITUTO DE CASAS FISCALES DEL EJERCITO</t>
  </si>
  <si>
    <t>43211500 - 43212100</t>
  </si>
  <si>
    <t>ADQUISICION DE EQUIPOS DE COMPUTO Y PERIFERICOS PARA DEL INSTITUTO DE CASAS FISCALES DEL EJÉRCITO</t>
  </si>
  <si>
    <t>ADQUISICIÓN DE SERVIDORES PARA LA MODERNIZACIÓN DE LOS PROCESOS MISIONALES  DEL INSTITUTO DE CASAS FISCALES DEL EJERCITO</t>
  </si>
  <si>
    <t>ADQUSICION DE CERTIFICADOS DIGITALES Y CERTIFICADO DIGITAL SITIO WEB - WILDCARD  PARA EL INSTITUTO DE CASAS FISCALES DEL EJÉRCITO</t>
  </si>
  <si>
    <t>ADQUISICIÓN Y/O RENOVACIÓN DE LICENCIAMIENTO DE HERRAMIENTAS (ADOBE, AUTODESK) COMO APOYO A LOS DIFERENTES PROCESOS DEL INSTITUTO DE CASAS FISCALES DEL EJÉRCITO</t>
  </si>
  <si>
    <t>43233000 - 43231500</t>
  </si>
  <si>
    <t>ADQUISICIÓN E IMPLEMENTACIÓN DE LICENCIAS MICROSOFT 365 CON OFFICE Y SERVICIOS DE CORREO ELECTRÓNICO PARA EL INSTITUTO DE CASAS FISCALES DEL EJÉRCITO</t>
  </si>
  <si>
    <t>PRESTAR CON PLENA AUTONOMIA LOS SERVICIOS PROFESIONALES DE UN INGENIERO  PARA EL SOPORTE DE LA BASE DE DATOS DE LA PLATAFORMA SAIMF PARA EL GRUPO DEL INSTITUTO DE CASAS FISCALES DEL EJÉRCITO</t>
  </si>
  <si>
    <t xml:space="preserve">PRESTAR CON PLENA AUTONOMÍA ADMINISTRATIVA LOS SERVICIOS PROFESIONALES DE UN INGENIERO DE SISTEMAS O AFINES COMO LIDER DEL GRUPO DE DESARROLLO, ADMINISTRADOR Y DISEÑADOR DE BASES DE DATOS PARA EL GRUPO DEL INSTITUTO DE CASAS FISCALES DEL EJÉRCITO </t>
  </si>
  <si>
    <t xml:space="preserve">PRESTAR CON PLENA AUTONOMIA ADMINISTRATIVA LOS SERVICIOS PROFESIONALES DE UN INGENIERO DE SISTEMAS O AFINES COMO LIDER TECNICO DE DESARROLLO DE SOFTWARE - PARA EL GRUPO DEL INSTITUTO DE CASAS FISCALES DEL EJÉRCITO </t>
  </si>
  <si>
    <t xml:space="preserve">PRESTAR CON PLENA AUTONOMIA ADMINISTRATIVA LOS SERVICIOS PROFESIONALES CON EXPERIENCIA EN ARQUITECTURA, LEVANTAMIENTO DE INFORMACION Y PRUEBAS DE SOFTWARE - PARA EL GRUPO DEL INSTITUTO DE CASAS FISCALES DEL EJÉRCITO </t>
  </si>
  <si>
    <t xml:space="preserve">PRESTAR CON PLENA AUTONOMIA ADMINISTRATIVA LOS SERVICIOS PROFESIONALES DE UN INGENIERO DE SISTEMAS O A FINES COMO DESARROLLADOR DE SOFTWARE FRONTEND - PARA EL GRUPO DEL INSTITUTO DE CASAS FISCALES DEL EJÉRCITO </t>
  </si>
  <si>
    <t xml:space="preserve">PRESTAR CON PLENA AUTONOMIA ADMINISTRATIVA LOS SERVICIOS PROFESIONALES DE UN INGENIERO DE SISTEMAS O A FINES COMO DESARROLLADOR DE SOFTWARE BACKEND - PARA EL GRUPO DEL INSTITUTO DE CASAS FISCALES DEL EJÉRCITO </t>
  </si>
  <si>
    <t xml:space="preserve">PRESTAR CON PLENA AUTONOMÍA ADMINISTRATIVA LOS SERVICIOS PROFESIONALES DE UN INGENIERO DE SISTEMAS O AFINES COMO DISEÑADOR WEB Y EXPERIENCIA DE USUARIO PARA EL GRUPO DEL INSTITUTO DE CASAS FISCALES DEL EJÉRCITO </t>
  </si>
  <si>
    <t>SERVICIO DE SOPORTE, ADMINISTRACIÓN Y MANTENIMIENTO NETWORKING, SEGURIDAD PERIMETRAL Y ENDPOINT MEDIANTE CUMPLIMIENTO DE ACUERDOS DE NIVELES DE SERVICIO CONTINUO PARA EL INSTITUTO DE CASAS FISCALES DEL EJÉRCITO</t>
  </si>
  <si>
    <t>SERVICIO DE SOPORTE Y MANTENIMIENTO ESPECIALIZADO SOBRE LA INFRAESTRUCTURA TECNOLOGICA CON BOLSA DE REPUESTOS DEL INSTITUTO DE CASAS FISCALES DEL EJÉRCITO</t>
  </si>
  <si>
    <t>81112200 - 81111500</t>
  </si>
  <si>
    <t>ACTUALIZACIÓN, SOPORTE Y VERSIONAMIENTO PARA LA PLATAFORMA DE GESTIÓN DOCUMENTAL DEL INSTITUTO DE CASAS FISCALES DEL EJERCITO</t>
  </si>
  <si>
    <t>MANTENIMIENTO ANUAL, SOPORTE Y SERVICIO SMART ATTENTION PARA LA PLATAFORMA SAP BUSINESS ONE PARA EL INSTITUTO DE CASAS FISCALES DEL EJERCITO</t>
  </si>
  <si>
    <t>81111800 - 81111500</t>
  </si>
  <si>
    <t>ACTUALIZACIÓN, SOPORTE Y LICENCIAMIENTO PARA LA PLATAFORMA ERP ODOO (FACTURACION Y NOMINA ELECTRONICA) DEL INSTITUTO DE CASAS FISCALES DEL EJERCITO</t>
  </si>
  <si>
    <t>ACTUALIZACIONES CORRESPONDIENTES A LA VIGENCIA 2025 CON SOPORTE Y ACOMPAÑAMIENTO PARA LA PLATAFORMA VISIÓN EMPRESARIAL DEL INSTITUTO DE CASAS FISCALES DEL EJÉRCITO</t>
  </si>
  <si>
    <t>43232100
43232400
81112100</t>
  </si>
  <si>
    <t>ACTUALIZACIÓN, REDISEÑO Y MANTENIMIENTO DE LA PÁGINA WEB DEL INSTITUTO DE CASAS FISCALES DEL EJERCITO</t>
  </si>
  <si>
    <t>SERVICIOS RELACIONADOS CON LA CONVERSIÓN, ALMACENAMIENTO Y ARCHIVO DE PLANOS Y DOCUMENTOS EN FORMATO DIGITAL.</t>
  </si>
  <si>
    <t>PRESTACIÓN DE SERVICIOS PROFESIONALES PARA LA ACTUALIZACIÓN DE LOS DOCUMENTOS DEL CUADRO DE CLASIFICACIÓN DOCUMENTAL, TABLAS DE RETENCIÓN DOCUMENTAL, BANCO TERMINOLOGICO Y MEMORIA DESCRIPTIVA.</t>
  </si>
  <si>
    <t>SERVICIOS DE MANTENIMIENTO O REPARACIÓN DE MOBILIARIO DE OFICINA.</t>
  </si>
  <si>
    <t>CANAL DEDICADO DE INTERNET</t>
  </si>
  <si>
    <t>MANTENIMIENTO PREVENTIVO Y CORRECTIVO DE PERIFERICOS CON BOLSA DE REPUESTOS NUEVOS Y ORIGINALES QUE COMPONEN LA INFRAESTRUCTURA TECNOLOGICA DEL INSTITUTO DE CASAS FISCALES DEL EJÉRCITO</t>
  </si>
  <si>
    <t>MANTENIMIENTO PREVENTIVO Y CORRECTIVO DEL CIRCUITO CERRADO DE TELEVISION DE LOS CONJUNTOS RESIDENCIALES (LIBERTADORES, BACATA Y HEROES) DEL INSTITUTO DE CASAS FISCALES DEL EJÉRCITO UBICADOS EN LA CIUDAD DE BOGOTÁ</t>
  </si>
  <si>
    <t>MANTENIMIENTO A TODO COSTO DE UN EDIFICIO DE APARTAMENTOS DE VIVIENDA FISCAL PARA EL PERSONAL DE SUBOFICIALES EN LA SECCIONAL DE BOGOTA CONJUNTO LOS LIBERTADORES, “MAZA”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</si>
  <si>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t>
  </si>
  <si>
    <t>MANTENIMIENTO A TODO COSTO DE UN EDIFICIO DE APARTAMENTOS DE VIVIENDA FISCAL PARA EL PERSONAL DE OFICIALES EN LA SECCIONAL DE BOGOTA BR13, “CALIBIO” DEL INSTITUTO DE CASAS FISCALES DEL EJÉRCITO</t>
  </si>
  <si>
    <t>INTERVENTORÍA TÉCNICA, ADMINISTRATIVA, FINANCIERA, CONTABLE, AMBIENTAL Y DE SEGURIDAD Y SALUD EN EL TRABAJO (SST) PARA EL “MANTENIMIENTO A TODO COSTO DE UN EDIFICIO DE APARTAMENTOS DE VIVIENDA FISCAL PARA EL PERSONAL DE OFICIALES EN LA SECCIONAL DE BOGOTA BR13, “CALIBIO” DEL INSTITUTO DE CASAS FISCALES DEL EJÉRCITO</t>
  </si>
  <si>
    <t>MANTENIMIENTO A TODO COSTO DE UN EDIFICIO DE APARTAMENTOS DE VIVIENDA FISCAL PARA EL PERSONAL DE SUBOFICIALES EN LA SECCIONAL DE BUCARAMANGA, SANTANDER “SANTANDER” DEL INSTITUTO DE CASAS FISCALES DEL EJÉRCITO</t>
  </si>
  <si>
    <t>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t>
  </si>
  <si>
    <t>MANTENIMIENTO A TODO COSTO DE UN EDIFICIO DE APARTAMENTOS DE VIVIENDA FISCAL PARA EL PERSONAL DE SUBOFICIALES EN LA SECCIONAL DE BOGOTA CONJUNTO LOS LIBERTADORES, “ANTONIA SANTOS”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</si>
  <si>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“ANTONIA SANTOS” DEL INSTITUTO DE CASAS FISCALES DEL EJÉRCITO (ICFE)</t>
  </si>
  <si>
    <t>MANTENIMIENTO A TODO COSTO DE DOS EDIFICIOS DE APARTAMENTOS DE VIVIENDA FISCAL PARA EL PERSONAL DE OFICIALES EN LA SECCIONAL DE BOGOTA BR13, “PICHINCHA Y BOMBONA”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</si>
  <si>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OFICIALES EN LA SECCIONAL DE BOGOTA BR13, “PICHINCHA Y BOMBONA” DEL INSTITUTO DE CASAS FISCALES DEL EJÉRCITO</t>
  </si>
  <si>
    <t xml:space="preserve">390.000.000,00
</t>
  </si>
  <si>
    <t>MANTENIMIENTO A TODO COSTO DE LAS CUBIERTAS DE LOS EDIFICIOS DE APARTAMENTOS DE VIVIENDAS FISCALES PARA EL PERSONAL DE OFICIALES Y SUBOFICIALES EN BOGOTA Y A NIVEL NACIONAL</t>
  </si>
  <si>
    <t>INTERVENTORÍA TÉCNICA, ADMINISTRATIVA, FINANCIERA, CONTABLE, JURÍDICA Y AMBIENTAL A LAS OBRAS DE MANTENIMIENTO A TODO COSTO DE LAS CUBIERTAS DE LOS EDIFICIOS DE APARTAMENTOS DE VIVIENDAS FISCALES PARA EL PERSONAL DE OFICIALES Y SUBOFICIALES EN BOGOTA Y A NIVEL NACIONAL</t>
  </si>
  <si>
    <t xml:space="preserve">PRESTAR CON PLENA AUTONOMIA ADMINISTRATIVA LOS SERVICIOS PROFESIONALES  PARA LA ELABORACION DE PRESUPUESTOS DE LOS PROYECTOS DE CONSTRUCCIÓN Y MANTENIMIENTO DE VIVIENDA FISCAL DEL GRUPO PROYECTOS DE INVERSION DEL INSTITUTO DE CASAS FISCALES DEL EJÉRCITO.” </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</si>
  <si>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</si>
  <si>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</si>
  <si>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ELECTRICO  PARA LA ESTRUCTURACION DE LOS PROYECTOS DE CONSTRUCCIÓN Y MANTENIMIENTO DE VIVIENDA FISCAL DEL GRUPO PROYECTOS DE INVERSIÓN DEL INSTITUTO DE CASAS FISCALES DEL EJÉRCITO.”</t>
  </si>
  <si>
    <t>PRESTAR CON PLENA AUTONOMIA ADMINISTRATIVA LOS SERVICIOS PROFESIONALES DE UN ARQUITECTO, PARA LA ESTRUCTURACION DE LOS PROYECTOS DE CONSTRUCCIÓN Y MANTENIMIENTO DE VIVIENDA FISCAL DEL GRUPO PROYECTOS DE INVERSION DEL INSTITUTO DE CASAS FISCALES DEL EJÉRCITO.”</t>
  </si>
  <si>
    <t>PRESTAR LOS SERVICIOS PROFESIONALES DE APOYO A LA SUPERVISION DE LOS PROYECTOS DE CONSTRUCCIÓN Y MANTENIMIENTO DE VIVIENDA FISCAL DEL GRUPO PROYECTOS DE INVERSIÓN DEL INSTITUTO DE CASAS FISCALES DEL EJÉRCITO.”</t>
  </si>
  <si>
    <t>PRESTAR CON PLENA AUTONOMIA ADMINISTRATIVA LOS SERVICIOS PROFESIONALES DE UN INGENIERO FORESTAL, PARA LA ESTRUCTURACION DE LOS PROYECTOS DE CONSTRUCCION Y MANTENIMIENTO DE VIVIENDA FISCAL DEL GRUPO PROYECTOS DE INVERSIÓN DEL INSTITUTO DE CASAS FISCALES</t>
  </si>
  <si>
    <t>PRESTAR LOS SERVICIOS DE APOYO A LA GESTION DE UN TÉCNOLOGO PRESUPUESTADOR, PARA LA ELABORACION DE PRESUPUESTOS DE LOS PROYECTOS DE CONSTRUCCIÓN Y MANTENIMIENTO DE VIVIENDA FISCAL DEL GRUPO PROYECTOS DE INVERSION DEL INSTITUTO DE CASAS FISCALES DEL EJÉRCITO.</t>
  </si>
  <si>
    <t>PRESTAR LOS SERVICIOS DE APOYO A LA GESTION DE UN TÉCNOLOGO  DELINEANTE, PARA LA ESTRUCTURACION DE LOS PROYECTOS DE CONSTRUCCIÓN Y MANTENIMIENTO DE VIVIENDA FISCAL DEL GRUPO PROYECTOS DE INVERSION DEL INSTITUTO DE CASAS FISCALES DEL EJÉRCITO”</t>
  </si>
  <si>
    <t xml:space="preserve">PRESTAR LOS SERVICIOS DE APOYO A LA GESTION COMO APOYO A LA SUPERVISION DE LOS PROYECTOS DE CONSTRUCCIÓN Y MANTENIMIENTO DE VIVIENDA FISCAL DEL GRUPO PROYECTOS DE INVERSIÓN DEL INSTITUTO DE CASAS </t>
  </si>
  <si>
    <t>PRESTAR CON PLENA AUTONOMIA ADMINISTRATIVA LOS SERVICIOS PROFESIONALES DE UN ESPECILISTA HIDROSANITARIO  PARA LA ESTRUCTURACION DE LOS PROYECTOS DE CONSTRUCCIÓN Y MANTENIMIENTO DE VIVIENDA FISCAL DEL GRUPO PROYECTOS DE INVERSIÓN DEL INSTITUTO DE CASAS FISCALES DEL EJÉRCITO.”</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</si>
  <si>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</si>
  <si>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</si>
  <si>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PRESTAR CON PLENA AUTONOMIA ADMINISTRATIVA LOS SERVICIOS PROFESIONALES DE UN ABOGADO ESPECIALISTA PARA EL GRUPO PROYECTOS DE INVERSIÓN DEL INSTITUTO DE CASAS FISCALES DEL EJÉRCITO.”</t>
  </si>
  <si>
    <t xml:space="preserve">PASAJES TERRESTRES O AEREOS PARA VIAJES A LAS SECCIONALES DE LOS PROYECTOS DE INVERSION </t>
  </si>
  <si>
    <t xml:space="preserve">GASTOS DE ALOJAMIENTO Y ALIMENTACION PARA EL PERSONAL </t>
  </si>
  <si>
    <t>INDEPENDIZACIÓN DE SERVICIOS PÚBLICOS</t>
  </si>
  <si>
    <t>TERMINACION DE LA CONSTRUCCIÓN A TODO COSTO DE DOS EDIFICIOS DE APARTAMENTOS PARA EL PERSONAL DE OFICIALES Y SUBOFICIALES DEL EJÉRCITO A NIVEL NACIONAL EN LA SECCIONAL DE TOLEMAIDA EN NILO-CUNDINAMARCA”.</t>
  </si>
  <si>
    <t>INTERVENTORÍA TÉCNICA, ADMINISTRATIVA, FINANCIERA, CONTABLE, JURÍDICA, AMBIENTAL Y DE SEGURIDAD Y SALUD EN EL TRABAJO  PARA LA TERMINACION DE LA CONSTRUCCIÓN A TODO COSTO DE DOS EDIFICIOS DE APARTAMENTOS PARA EL PERSONAL DE OFICIALES Y SUBOFICIALES DEL EJÉRCITO A NIVEL NACIONAL EN LA SECCIONAL DE TOLEMAIDA EN NILO-CUNDINAMARCA</t>
  </si>
  <si>
    <t>CONSTRUCCIÓN DE DOS EDIFICIOS DE VIVIENDA FISCAL PARA EL PERSONAL DE SUBOFICIALES EN LA SECCIONAL DE TOLEMAIDA</t>
  </si>
  <si>
    <t>“INTERVENTORÍA TÉCNICA, ADMINISTRATIVA, FINANCIERA, JURÍDICA, CONTABLE, AMBIENTAL Y DE SST PARA LA CONSTRUCCIÓN DE DOS EDIFICIOS DE VIVIENDA FISCAL PARA EL PERSONAL DE SUBOFICIALES EN LA SECCIONAL DE TOLEMAIDA”.</t>
  </si>
  <si>
    <t>CONSTRUCCIÓN INSTALACIÓN Y ADQUISICIÓN DE PARQUES INFANTILES PARA LAS DIFERENTES SECCIONALES DEL INSTITUTO DE CASAS FISCALES DEL EJERCITO A NIVEL NACIONAL</t>
  </si>
  <si>
    <t>INTERVENTORÍA TÉCNICA, ADMINISTRATIVA, FINANCIERA, JURÍDICA, CONTABLE, AMBIENTAL Y DE SST PARA LA CONSTRUCCIÓN, INSTALACIÓN Y ADQUISICIÓN DE PARQUES INFANTILES PARA LAS DIFERENTES SECCIONALES DEL INSTITUTO DE CASAS FISCALES DEL EJERCITO A NIVEL NACIONAL</t>
  </si>
  <si>
    <t xml:space="preserve">CONSTRUCCIÓN DE UN EDIFICIO DE VIVIENDA FISCAL PARA EL PERSONAL DE SUBOFICIALES EN LA SECCIONAL DE MEDELLIN </t>
  </si>
  <si>
    <t>“INTERVENTORÍA TÉCNICA, ADMINISTRATIVA, FINANCIERA, JURÍDICA, CONTABLE, AMBIENTAL Y DE SST PARA LA CONSTRUCCIÓN DE UN EDIFICIO DE VIVIENDA FISCAL PARA EL PERSONAL DE SUBOFICIALES EN LA SECCIONAL DE MEDELLIN ”.</t>
  </si>
  <si>
    <t xml:space="preserve">ADICION INTERVENTORIA BUENAVISTA </t>
  </si>
  <si>
    <t xml:space="preserve">ADICION INTERVENTORIA CUCUTA </t>
  </si>
  <si>
    <t>PAGO RADICACIÓN DE LICENCIA DE CONSTRUCCIÓN PROYECTO CONSTRUCCIÓN EDIFICIO MEDELLÍN, PAGO LICENCIA DE CONSTRUCCIÓN, PUBLICACIONES Y COPIAS.</t>
  </si>
  <si>
    <t xml:space="preserve">LICENCIAS AMBIENTALES, PERMISOS AMBIENTALES, PAGOS POR COMPENSACIONES DE LOS PROYECTOS DE CONSTRUCCIÓN, DISPOSICION DE RESIDUOS. </t>
  </si>
  <si>
    <t xml:space="preserve">ESTUDIOS DE SUELOS PARA LA CONSTRUCCION DE EDIFICACION DE VIVIENDA FISCAL A NIVEL NACIONAL </t>
  </si>
  <si>
    <t>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t>
  </si>
  <si>
    <t xml:space="preserve">CONTRATACION DIRECTA </t>
  </si>
  <si>
    <t>PRESTAR CON PLENA AUTONOMIA ADMINISTRATIVA LOS SERVICIOS PROFESIONALES DE UN ABOGADO ESPECIALIZADO PARA APOYAR LOS PROCESOS ADMINISTRATIVOS SANCIONATORIOS DE OBRA E INTERVENTORIA QUE SE ADELANTA EN LA OFICINA DE ASESORÍA JURÍDICA DEL INSTITUTO DE CASAS FISCALES DEL EJÉRCITO</t>
  </si>
  <si>
    <t>PRESTAR CON PLENA AUTONOMIA ADMINISTRATIVA LOS SERVICIOS PROFESIONALES DE UN ABOGADO ESPECIALIZADO EN APOYO A LA GESTIÓN LEGAL, SEGUIMIENTO, EVALUACIÓN DE LA POLÍTICA DE DAÑO ANTIJURÍDICO CONTRATO REALIDAD Y DISEÑO DE LA POLITICA DE DAÑO ANTIJURIDICO 2025 AL IGUAL QUE APOYO EN LA ELABORACIÓN DE INFORMES, ALIMENTACIÓN DEL EKOGUI, DEL SOFTWARE DE DAÑO ANTIJURÍDICO, FURAG, MPG  Y OTRAS ACTIVIDADES ASIGNADAS A LA OFICINA ASESORA JURÍDICA DEL INSTITUTO DE CASAS FISCALES DEL EJÉRCITO NACIONAL</t>
  </si>
  <si>
    <t>CONTRATACION DRECTA</t>
  </si>
  <si>
    <t>SUMINISTRO DE ELEMENTOS DE PROTECCIÓN CONTRA CAÍDAS  PARA LOS SERVIDORES PÚBLICOS DEL INSTITUTO DE CASAS FISCALES DEL EJÉRCITO</t>
  </si>
  <si>
    <t xml:space="preserve">ABRIL </t>
  </si>
  <si>
    <t>ADQUISICION DE GABINETES Y ELEMENTOS CONTRA INCENDIO PARA LA ATENCION DE EMERGENCIAS DE LOS CONJUNTOS RESIDENCIALES DEL INSTITUTO DE CASAS FISCALES DEL EJÉRCITO A NIVEL NACIONAL</t>
  </si>
  <si>
    <t xml:space="preserve">MAYO </t>
  </si>
  <si>
    <t>ADQUISICIÓN DE ELEMENTOS DE SEÑALIZACIÓN Y OTROS ELEMENTOS DE INFORMACIÓN PARA EL INSTITUTO DE CASAS FISCALES DEL EJÉRCITO</t>
  </si>
  <si>
    <t>ADQUISICIÓN DE SILLAS ERGONOMICAS PARA LOS FUNCIONARIOS DEL INSTITUTO DE CASAS FISCALES DEL EJERCITO SEDE ADMINISTRATIVA</t>
  </si>
  <si>
    <t>RECARGA DE EXTINTORES PARA EL INSTITUTO  DE CASAS FISCALES DEL EJERCITO</t>
  </si>
  <si>
    <t>77101800 
80101500 
86101700</t>
  </si>
  <si>
    <t>PRESTAR LOS SERVICIOS DE FORMACION Y CERTIFICACION EN LA ISO 27001 Y LA REALIZACIÓN DE LA AUDITORIA EXTERNA EN ISO 9001:2015 GESTIÓN DE CALIDAD E ISO 14001:2015 GESTIÓN AMBIENTAL PARA EL INSTITUTO DE CASAS FISCALES DEL EJÉRCITO</t>
  </si>
  <si>
    <t>4MES</t>
  </si>
  <si>
    <t>PRESTACION DE SERVICIO DE SALUD EN LA REALIZACIÓN DE EVALUACIONES MÉDICAS OCUPACIONALES, EXÁMENES PARACLÍNICOS Y JORNADAS DE VACUNACIÓN PARA LOS SERVIDORES PÚBLICOS, PRESTADORES DE SERVICIO Y PERSONAL MILITAR DEL INSTITUTO DE CASAS FISCALES DEL EJÉRCITO</t>
  </si>
  <si>
    <t>24101510
47121702</t>
  </si>
  <si>
    <t>ADQUISICIÓN DE CONTENEDORES Y CANECAS CILÍNDRICAS CON DESTINO A CENTROS DE ACOPIO Y ÁREAS COMUNES PARA EL ALMACENAMIENTO TEMPORAL DE RESIDUOS APROVECHABLES, RESIDUOS ORGÁNICOS APROVECHABLES, Y RESIDUOS NO APROVECHABLES DE LOS CONJUNTOS RESIDENCIALES A NIVEL NACIONAL  DEL INSTITUTO DE CASAS FISCALES DEL EJÉRCITO</t>
  </si>
  <si>
    <t xml:space="preserve">PRESTACIÓN DE SERVICIOS PROFESIONALES DE APOYO A LA GESTIÓN PARA REALIZAR “PARA LA IMPLEMENTACIÓN DEL SISTEMA DE SEGURIDAD Y SALUD EN EL TRABAJO E INTEGRACIÓN CON OTROS SISTEMAS DE GESTIÓN A NIVEL INTERNO Y LA SUPERVISIÓN A CONTRATISTAS POR PARTE DEL ICFE. </t>
  </si>
  <si>
    <t xml:space="preserve">PRESTACIÓN DE SERVICIOS TECOLOGICOS DE APOYO A LA GESTIÓN PARA REALIZAR “PARA LA IMPLEMENTACIÓN DEL SISTEMA DE SEGURIDAD Y SALUD EN EL TRABAJO E INTEGRACIÓN CON OTROS SISTEMAS DE GESTIÓN A NIVEL INTERNO Y LA SUPERVISIÓN A CONTRATISTAS POR PARTE DEL ICFE. </t>
  </si>
  <si>
    <t>PRESTACIÓN DE SERVICIOS PROFESIONALES DE APOYO A LA GESTIÓN PARA REALIZAR “PARA LA IMPLEMENTACIÓN DEL SISTEMA DE GESTIÓN AMBIENTAL NACIONAL CON OTROS SISTEMAS DE GESTIÓN DEL ICFE.</t>
  </si>
  <si>
    <t>PRESTACIÓN DE SERVICIOS PROFESIONALES DE APOYO A LA GESTIÓN PARA REALIZAR “PARA LA IMPLEMENTACIÓN DEL SISTEMA DE CONTIUIDAD DEL NEGOCIO CON OTROS SISTEMAS DE GESTIÓN DEL ICFE.</t>
  </si>
  <si>
    <t>RECARGA DE EXTINTORES A NIVEL NACIONAL PARA EL INSTITUTO  DE CASAS FISCALES DEL EJERCITO</t>
  </si>
  <si>
    <t xml:space="preserve">PRESTAR LOS SERVICIOS DE FORMACION Y CERTIFICACION DE ENTRENAMIENTO  PARA TRABAJO SEGURO EN ALTURAS Y  EN EL ARME Y DESARME DE ANDAMIOS PARA LOS COLABORADORES DEL ICFE  A NIVEL NACIONAL </t>
  </si>
  <si>
    <t xml:space="preserve">ADQUISICION DE  HERRAMIENTA ELECTRICA Y MAQUINARIA  PARA EL INSTITUTO DE CASAS FISCALES DEL EJÉRCITO </t>
  </si>
  <si>
    <t>ADQUISICION  DE ELEMENTOS DE PAPELERÍA , ÚTILES DE ESCRITORIO Y OFICINA (INCLUYE ELEMENTO DE ARCHIVO)</t>
  </si>
  <si>
    <t>ADQUISICIÓN DE TONERES Y CARTUCHOS DE TINTA PARA IMPRESORAS</t>
  </si>
  <si>
    <t>MANTENIMIENTO PREVENTIVO Y CORRECTIVO CON SUMINISTRO E INSTALACIÓN DE REPUESTOS, ASI COMO LA CERTIFICACIÓN DE ACUERDO A LA NORMA NTC 5926-1:2021  DE LOS ASCENSORES DEL ICFE (Vigencis futuras 2025)</t>
  </si>
  <si>
    <t>MANTENIMIENTO PREVENTIVO Y CORRECTIVO CON SUMINISTRO E INSTALACIÓN DE REPUESTOS, ASI COMO LA CERTIFICACIÓN DE ACUERDO A LA NORMA NTC 5926-1:2021  DE LOS ASCENSORES DEL ICFE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</si>
  <si>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ICFE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</si>
  <si>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ICFE  (Para tramitar vigencias futuras 2025)</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</si>
  <si>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ICFE EN LA CIUDAD DE BOGOTÁ. </t>
  </si>
  <si>
    <t>SUMINISTRO E INSTALACIÓN DE VIDRIOS CRUDOS, TEMPLADOS Y CARPINTERÍA EN ALUMINIO  PARA EL MANTENIMIENTO  DE LAS VIVIENDAS FISCALES DEL ICFE A NIVEL NACIONAL</t>
  </si>
  <si>
    <t>SUMINISTRO DE ELEMENTOS DE FERRETERÍA Y OTROS MATERIALES PARA EL MANTENIMIENTO DE LAS VIVIENDAS FISCALES Y SUS ÁREAS COMUNES EN LAS SECCIONALES A NIVEL NACIONAL</t>
  </si>
  <si>
    <t xml:space="preserve">PRESTACION DE SERVICIOS PARA LA APLICACIÓN DE PINTURA EN ESTRUCTURAS DE ACUERDO AL TIPO DE ACABADO  EN LAS VIVIENDAS FISCALES Y AREAS COMUNES  DEL ICFE </t>
  </si>
  <si>
    <t>PRESTACION DE SERVICIOS DE ACTIVIDADES DE MANTENIMIENTO  BÁSICO Y ACABADOS DE LAS VIVIENDAS FISCALES Y AREAS COMUNES EN LA CIUDAD DE BOGOTA</t>
  </si>
  <si>
    <t>PRESTACION DE SERVICIOS DE ACTIVIDADES DE MANTENIMIENTO  BÁSICO Y ACABADOS DE LAS VIVIENDAS FISCALES Y AREAS COMUNES A NIVEL NACIONAL</t>
  </si>
  <si>
    <t>PRESTACION DE SERVICIOS COMO MAESTRO DE CONSTRUCCION PARA LA INSTALACION Y MANTENIMIENTO DE CUBIERTAS EN LAS VIVIENDAS FISCALES} A NIVEL NACIONAL</t>
  </si>
  <si>
    <t>PRESTACION DE SERVICIOS DE ACTIVIDADES DE INSTALACIÓN Y MANTENIMIENTO DE CUBIERTAS DE LAS VIVIENDAS FISCALES A NIVEL NACIONAL</t>
  </si>
  <si>
    <t>ALMACEN</t>
  </si>
  <si>
    <t>PROGRAMA DE SEGUROS CON COBERTURA A LOS BIENES, FUNCIONARIOS E INTERESES PATRIMONIALES DEL INSTITUTO DE CASAS FISCALES DEL EJÉRCITO – ICFE.</t>
  </si>
  <si>
    <t>PRESTACIÓN DE SERVICIOS PROFESIONALES PARA LA ADMINISTRACIÓN DE LOS INVENTARIOS EN EL SISTEMA SAP DEL ICFE</t>
  </si>
  <si>
    <t>PRESTACIÓN DE SERVICIOS TECNOLÓGICOS DE APOYO A LA GESTIÓN PARA EL AREA DE SERVICIOS PUBLICOS DEL ICFE</t>
  </si>
  <si>
    <t>SERVICIO DE VIGILANCIA Y SEGURIDAD PRIVADA SIN ARMAS PARA EL CONJUNTO RESIDENCIAL “HEROES DE COLOMBIA” EN LA CIUDAD DE BOGOTÁ  (Vigencias futuras 2025)</t>
  </si>
  <si>
    <t>SERVICIO DE VIGILANCIA Y SEGURIDAD PRIVADA SIN ARMAS PARA EL CONJUNTO RESIDENCIAL “HEROES DE COLOMBIA” EN LA CIUDAD DE BOGOTÁ  (Para tramitar vigencias futuras del 2026)</t>
  </si>
  <si>
    <t>SERVICIOS DE LIMPIEZA Y ASEO DE ÁREAS COMUNES DE VIVIENDAS FISCALES DE LA CIUDAD DE BOGOTÁ  (Vigencias futuras 2025)</t>
  </si>
  <si>
    <t>SERVICIOS DE LIMPIEZA Y ASEO DE ÁREAS COMUNES DE VIVIENDAS FISCALES DE LA CIUDAD DE BOGOTÁ (Para tramitar vigencias futuras del 2026)</t>
  </si>
  <si>
    <t>SERVICIOS DE LIMPIEZA Y ASEO DE ÁREAS COMUNES DE VIVIENDAS FISCALES DE LAS SECCIONALES BUCARAMANGA, CALI, TOLEMAIDA Y VILLAVICENCIO   (Vigencias futuras 2025)</t>
  </si>
  <si>
    <t>SERVICIOS DE LIMPIEZA Y ASEO DE ÁREAS COMUNES DE VIVIENDAS FISCALES DE LAS SECCIONALES BUCARAMANGA, CALI, TOLEMAIDA Y VILLAVICENCIO    (Para tramitar vigencias futuras del 2026)</t>
  </si>
  <si>
    <t>JULIIO</t>
  </si>
  <si>
    <t>ADQUISICION DE TONERS Y CARTUCHOS DE TINTA PARA IMPRESORAS</t>
  </si>
  <si>
    <t>Proyección</t>
  </si>
  <si>
    <t>OPS</t>
  </si>
  <si>
    <t>SMMLV 10%</t>
  </si>
  <si>
    <t xml:space="preserve">MAESTRIA </t>
  </si>
  <si>
    <t>ESPECIALIZACIÓN</t>
  </si>
  <si>
    <t>*</t>
  </si>
  <si>
    <t xml:space="preserve">PROFESIONALES </t>
  </si>
  <si>
    <t>TECNOLOGO</t>
  </si>
  <si>
    <t>TÉCNICO</t>
  </si>
  <si>
    <t>BACHILLER</t>
  </si>
  <si>
    <t>TECNÍCO DE GAS</t>
  </si>
  <si>
    <t xml:space="preserve">MAESTRO DE OBRA BOGOTA </t>
  </si>
  <si>
    <t xml:space="preserve">MAESTRO DE OBRA NACIONAL </t>
  </si>
  <si>
    <t>PINTOR BOGOTA</t>
  </si>
  <si>
    <t>OPS AREA ADM</t>
  </si>
  <si>
    <t>CONTRATISTA</t>
  </si>
  <si>
    <t>CONTRATO</t>
  </si>
  <si>
    <t>TIPO DE CONTRATO</t>
  </si>
  <si>
    <t>VALOR CUANTIA 2024</t>
  </si>
  <si>
    <t>VALOR VIGENCIA FUTURA 2025</t>
  </si>
  <si>
    <t>OBJETO</t>
  </si>
  <si>
    <t>C.C o RUP</t>
  </si>
  <si>
    <t>FECHA ACTA INICIO</t>
  </si>
  <si>
    <t>VALOR ADICION</t>
  </si>
  <si>
    <t>F-TERMINACION FINAL</t>
  </si>
  <si>
    <t>DIAS DE EJECUCION</t>
  </si>
  <si>
    <t>VALOR TOTAL CON ADICIONES</t>
  </si>
  <si>
    <t>CONTRATOS</t>
  </si>
  <si>
    <t>PAOLA ANDREA PRADA CORREA</t>
  </si>
  <si>
    <t>PRESTACION DE SERVICIOS</t>
  </si>
  <si>
    <t>EDILMA ANDREA AYALA BAUTISTA</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</si>
  <si>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t>
  </si>
  <si>
    <t>PAOLA FERNANDA SIERRA RODRIGUEZ</t>
  </si>
  <si>
    <t>RAUL HUMBERTO PEREZ PATIÑO</t>
  </si>
  <si>
    <t>PRESTAR CON PLENA AUTONOMIA ADMINISTRATIVA LOS SERVICIOS PROFESIONALES DE UN ECONOMICO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</si>
  <si>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JURIDICA</t>
  </si>
  <si>
    <t>JHONNY ALFONSO BENAVIDES</t>
  </si>
  <si>
    <t>JESSICA MONTEALEGRE VILLAQUIRA</t>
  </si>
  <si>
    <t>PRESTAR CON PLENA AUTONOMIA ADMINISTRATIVA LOS SERVICIOS PROFESIONALES DE UN ABOGADO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</si>
  <si>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SISTEMAS</t>
  </si>
  <si>
    <t>JEISSON ANDRES NIÑO ARIAS</t>
  </si>
  <si>
    <t>PRESTACIÓN DE SERVICIOS PROFESIONALES COMO INGENIERO DISEÑADOR Y DESARROLLADOR DE SOFTWARE EN LENGUAJES DE PROGRAMACIÓN Y ADMINISTRACION Y DISEÑO DE BASES DE DATOS PARA EL PROYECTO DE INFORMACION MISIONAL DEL ICFE</t>
  </si>
  <si>
    <t>ANDRES MONCADA ESPITIA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</si>
  <si>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EJERCITO</t>
  </si>
  <si>
    <t>JOSE SOPO URIBE</t>
  </si>
  <si>
    <t>PRESTAR CON PLENA AUTONOMÍA ADMINISTRATIVA LOS SERVICIOS PROFESIONALES DE UN ADMINISTRADOR DE EMPRESAS AL AREA DE PLANEACION EN EL MANTENIMIENTO DEL SISTEMA INTEGRADO DE GESTIÓN CONFORME AL SISTEMA DE GESTIÓN DE CALIDAD, EN RELACIÓN CON MIPG, FURAG, PLAN ANTICORRUPCIÓN Y ACTUALIZACIÓN MAPA DE RIESGOS</t>
  </si>
  <si>
    <t>S-INMUEBLES</t>
  </si>
  <si>
    <t>GILMA SHIRLEY DÍAZ FAJARDO</t>
  </si>
  <si>
    <t>PRESTAR CON PLENA AUTONOMIA ADMINISTRATIVA LOS SERVICIOS PROFESIONALES de UN ABOGADO EN LA SUBDIRECCIÓN DE INMUEBLES PARA LAS ÁREAS DE FINCA RAÍZ, MANTENIMIENTO, VIVIENDAS, ASÍ COMO EN EL TRÁMITE DE LOS DEBIDOS PROCESOS ADMINISTRATIVOS SANCIONATORIOS Y LAS RESPUESTAS A LAS SOLICITUDES Y LOS DERECHOS DE PETICIÓN QUE SE REQUIERAN</t>
  </si>
  <si>
    <t>VICTOR HUGO BUITRAGO GONZALEZ</t>
  </si>
  <si>
    <t>PRESTACIÓN DE SERVICIOS PROFESIONALES PARA LA ACTUALIZACIÓN DE LOS INVENTARIOS EN EL SISTEMA SAP DEL INSTITUTO DE CASAS FISCALES DEL EJÉRCITO</t>
  </si>
  <si>
    <t>CIRO ALBERTO JIMENEZ ROJAS</t>
  </si>
  <si>
    <t>PRESTACION DE SERVICIOS TÉCNICOS DE INSTALACIONES DE GAS DOMICILIARIAS PARA LAS VIVIENDAS FISCALES DEL INSTITUTO DE CASAS FISCALES DEL EJÉRCITO</t>
  </si>
  <si>
    <t>TECNICA</t>
  </si>
  <si>
    <t>DIEGO MAURICIO USCATEGUI</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</si>
  <si>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</si>
  <si>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ERIKA JOHANA OJEDA MOSCOSO</t>
  </si>
  <si>
    <t>JONATHAN JOSE CALA MONROY</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</si>
  <si>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</si>
  <si>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DIANA MARCELA MORA JIMENEZ</t>
  </si>
  <si>
    <t>PRESTAR CON PLENA AUTONOMIA ADMINISTRATIVA LOS SERVICIOS PROFESIONALES DE UN ARQUITECTO, PARA LA ESTRUCTURACION DE LOS PROYECTOS DE CONSTRUCCIÓN Y MANTENIMIENTO DE VIVIENDA FISCAL DEL GRUPO PROYECTOS DE INVERSION DEL INSTITUTO DE CASAS FISCALES DEL EJÉRCITO</t>
  </si>
  <si>
    <t>HUGO CARLOS PINEDA SANTOS</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</si>
  <si>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</si>
  <si>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ANA LOPEZ</t>
  </si>
  <si>
    <t>PRESTAR LOS SERVICIOS PROFESIONALES DE APOYO A LA SUPERVISION DE LOS PROYECTOS DE CONSTRUCCIÓN Y MANTENIMIENTO DE VIVIENDA FISCAL DEL GRUPO PROYECTOS DE INVERSIÓN DEL INSTITUTO DE CASAS FISCALES DEL EJÉRCITO</t>
  </si>
  <si>
    <t>LEONARDO AVELLANEDA OROZCO</t>
  </si>
  <si>
    <t>PRESTAR CON PLENA AUTONOMIA ADMINISTRATIVA LOS SERVICIOS PROFESIONALES PARA LA ELABORACION DE PRESUPUESTOS DE LOS PROYECTOS DE CONSTRUCCIÓN Y MANTENIMIENTO DE VIVIENDA FISCAL DEL GRUPO PROYECTOS DE INVERSION DEL INSTITUTO DE CASAS FISCALES DEL EJÉRCITO</t>
  </si>
  <si>
    <t>LUISA FERNANDA  LOZANO</t>
  </si>
  <si>
    <t>IVAN ORLANDO VILLAMIL FLORIAN</t>
  </si>
  <si>
    <t>AURA MARIA VALENCIA</t>
  </si>
  <si>
    <t>ANGIE SANCHEZ</t>
  </si>
  <si>
    <t>PRESTAR LOS SERVICIOS DE APOYO A LA GESTION DE UN TÉCNICO DELINEANTE, PARA LA ESTRUCTURACION DE LOS PROYECTOS DE CONSTRUCCIÓN Y MANTENIMIENTO DE VIVIENDA FISCAL DEL GRUPO PROYECTOS DE INVERSION DEL INSTITUTO DE CASAS FISCALES DEL EJÉRCITO</t>
  </si>
  <si>
    <t>ANGELICA MARIA MUNERA</t>
  </si>
  <si>
    <t>IVONNE ALEJANDRA MONROY MOLANO</t>
  </si>
  <si>
    <t>G-DOCUMENTAL</t>
  </si>
  <si>
    <t>BARBARA SARMIENTO TORRES</t>
  </si>
  <si>
    <t>DIEGO FERNANDO BAUTISTA</t>
  </si>
  <si>
    <t>JOHN EDINSON RODRIGUEZ REYES</t>
  </si>
  <si>
    <t>SOFIA MORA HERNANDEZ</t>
  </si>
  <si>
    <t>PRESTACIÓN DE SERVICIOS PARA APOYO ADMINISTRATIVO AL ÁREA DE GESTIÓN DOCUMENTAL</t>
  </si>
  <si>
    <t>ELSY JULLIETH CASTRO ANAYA</t>
  </si>
  <si>
    <t>PRESTAR CON PLENA AUTONOMIA ADMINISTRATIVA LOS SERVICIOS PROFESIONALES DE UN ABOGADO ESPECIALISTA AL GRUPO PROYECTOS DE INVERSION, PARA EL ACOMPAÑAMIENTO EN EL SEGUIMIENTO TECNICO DE LOS PROYECTOS Y TODAS LAS DEMÁS ACTIVIDADES Y TRÁMITES NECESARIOS PARA SU CONSECUCIÓN DE CONFORMIDAD A LAS LEYES VIGENTES</t>
  </si>
  <si>
    <t>GENNY MERCEDES MARTINEZ LAGUNA</t>
  </si>
  <si>
    <t>JUAN PABLO RODRIGUEZ MORA</t>
  </si>
  <si>
    <t>PRESTAR CON PLENA AUTONOMÍA LOS SERVICIOS PROFESIONALES DE UN INGENIERO DE SISTEMAS EN LA PARAMETRIZACION Y SOPORTE DE LAS BASES DE DATOS DEL SAIMF Y LOS DISTINTOS SISTEMAS DE INFORMACIÓN DE LA ENTIDAD PARA EL GRUPO TIC´S</t>
  </si>
  <si>
    <t>G-INTEGRAL</t>
  </si>
  <si>
    <t>JERSON FERNANDO TRIANA RAMIREZ</t>
  </si>
  <si>
    <t>PRESTAR LOS SERVICIOS DE APOYO A LA GESTIÓN DE UN TECNÓLOGO PARA LA ACTUALIZACIÓN Y SEGUIMIENTO DEL SISTEMA DE SEGURIDAD Y SALUD EN EL TRABAJO DEL INSTITUTO DE CASAS FISCALES</t>
  </si>
  <si>
    <t>LUZ ALEJANDRA SANCHEZ CASTAÑEDA</t>
  </si>
  <si>
    <t>PRESTAR LOS SERVICIOS DE APOYO A LA GESTIÓN DE UN TECNÓLOGO PARA LA ACTUALIZACIÓN Y SEGUIMIENTO DEL SISTEMA DE GESTIÓN AMBIENTAL DEL INSTITUTO DE CASAS FISCALES DEL EJÉRCITO</t>
  </si>
  <si>
    <t>JAVIER ALFONSO MORA DAZA</t>
  </si>
  <si>
    <t>JUAN CAMILO ACEVEDO ROMERO</t>
  </si>
  <si>
    <t>PRESTAR LOS SERVICIOS PROFESIONALES DE UN INGENIERO FORESTAL, CON PLENA AUTONOMÍA ADMINISTRATIVA, PARA LA REALIZACION DE LOS TRÁMITES ANTE LAS ENTIDADES COMPETENTES PARA EL APROVECHAMIENTO FORESTAL DE LOS PROYECTOS DE CONSTRUCCIÓN Y MANTENIMIENTO DE VIVIENDA FISCAL DEL GRUPO PROYECTOS DE INVERSIÓN DEL INSTITUTO DE CASAS FISCALES DEL EJÉRCITO</t>
  </si>
  <si>
    <t>CRISTIAN CAMILO RODRÍGUEZ CASTRO</t>
  </si>
  <si>
    <t>PRESTAR CON PLENA AUTONOMIA ADMINISTRATIVA LOS SERVICIOS PROFESIONALES DE UN INGENIERO DE SISTEMAS PARA APOYAR EL DESARROLLO DE COMPONENTES DE SOFTWARE DE INFORMACIÓN A CARGO DEL GRUPO DE INFORMÁTICA Y TIC´S DEL INSTITUTO DE CASAS FISCALES DEL EJÉRCITO</t>
  </si>
  <si>
    <t>EDISSON ANDRES MONDRAGON GUTIERREZ</t>
  </si>
  <si>
    <t>PRESTAR CON PLENA AUTONOMIA ADMINISTRATIVA LOS SERVICIOS PROFESIONALES DE UN INGENIERO ELECTRÓNICO Y TELECOMUNICACIONES COMO DESARROLLADOR DE SOFTWARE - BACKEND PARA EL GRUPO DEL INSTITUTO DE CASAS FISCALES DEL EJÉRCITO</t>
  </si>
  <si>
    <t>FREDDY SANTISTEBAN SANDOVAL</t>
  </si>
  <si>
    <t>CARLOS ANDRES GUZMAN GARZON</t>
  </si>
  <si>
    <t>YURI VANESSA MENDEZ VARGAS</t>
  </si>
  <si>
    <t>PRESTAR LOS SERVICIOS DE APOYO A LA GESTIÓN DE UN TÉCNOLOGO, PARA REALIZAR LAS ACTIVIDADES DE ANALISIS, DEPURACION Y COMPROBACIÓN DE LA CARTERA DE LOS USUARIOS DEL INSTITUTO DE CASAS FISCALES DEL EJERCITO</t>
  </si>
  <si>
    <t>JUAN SALVADOR PINEDA SANTOS</t>
  </si>
  <si>
    <t>PRESTAR CON PLENA AUTONOMIA ADMINISTRATIVA LOS SERVICIOS PROFESIONALES DE UN ELECTRICO PARA LA ESTRUCTURACION DE LOS PROYECTOS DE CONSTRUCCIÓN Y MANTENIMIENTO DE VIVIENDA FISCAL DEL GRUPO PROYECTOS DE INVERSIÓN DEL INSTITUTO DE CASAS FISCALES DEL EJÉRCITO</t>
  </si>
  <si>
    <t>ANGELA MARIA MUNERA</t>
  </si>
  <si>
    <t>PRESTAR LOS SERVICIOS DE APOYO A LA GESTION DE UN TÉCNOLOGO DELINEANTE, PARA LA ESTRUCTURACION DE LOS PROYECTOS DE CONSTRUCCIÓN Y MANTENIMIENTO DE VIVIENDA FISCAL DEL GRUPO PROYECTOS DE INVERSION DEL INSTITUTO DE CASAS FISCALES DEL EJÉRCITO</t>
  </si>
  <si>
    <t>IVAN VILLAMIL FLORIAN</t>
  </si>
  <si>
    <t>MARCELA ALEJANDRA HERRAN PRIETO</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</si>
  <si>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t>
  </si>
  <si>
    <t>GLORIA MARCELA PINEDA JAIMES</t>
  </si>
  <si>
    <t>T-HUMANO</t>
  </si>
  <si>
    <t>CAROL DAYANA MENDEZ GONZALEZ</t>
  </si>
  <si>
    <t>PRESTAR CON PLENA AUTONOMÍA ADMINISTRATIVA LOS SERVICIOS PROFESIONALES DE UN ESPECIALISTA EN GERENCIA DE TALENTO HUMANO PARA APOYAR EN LA PLANEACIÓN, EJECUCION Y SEGUIMIENTO DE LOS DIFERENTES PROCESOS ORGANIZACIONALES QUE SE ADELANTEN EN EL GRUPO DE TALENTO FORMALIZACION DEL EMPLEO PÚBLICO EN EQUIDAD Y EL CUMPLIMIENTO DE LA NORMATIVIDAD LEGAL VIGENTE PARA LA GESTION</t>
  </si>
  <si>
    <t>JENNIFER PAOLA RODRIGUEZ</t>
  </si>
  <si>
    <t>PRESTAR CON PLENA AUTONOMIA ADMINISTRATIVA LOS SERVICIOS PROFESIONALES DE UN ESPECIALISTA EN DIRECCIÓN Y GESTIÓN DE PROYECTOS PARA EL LEVANTAMIENTO DE INFORMACIÓN Y PROBADOR DE SOFTWARE - PARA EL GRUPO DEL INSTITUTO DE CASAS FISCALES DEL EJÉRCITO</t>
  </si>
  <si>
    <t>PAOLA FERNANDA SIERRA RODRIGUEZ / LINA MARIA AVILA AMEZQUITA</t>
  </si>
  <si>
    <t>PÚBLICA, ELABORACIÓN DE CONTRATOS PÚBLICOS Y CONVENIOS EN GENERAL, ASI COMO CONCEPTOS Y DEMAS DOCUMENTOS QUE SE REQUIEREN DURANTE LAS ETAPAS PRECONTRACTUAL, CONTRACTUAL Y POSCONTRACTUAL NECESARIOS PARA SU CONSECUCIÓN DE CONFORMIDAD A LAS LEYES VIGENTES</t>
  </si>
  <si>
    <t>24018670/52927214</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</si>
  <si>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t>
  </si>
  <si>
    <t>ATENCION USUARIO</t>
  </si>
  <si>
    <t>YULI FERNANDA BERNAL MORA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</si>
  <si>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EJÉRCITO</t>
  </si>
  <si>
    <t>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t>
  </si>
  <si>
    <t>SUB-INMUEBLES</t>
  </si>
  <si>
    <t>JUAN SEBASTIAN LONDOÑO PARADA</t>
  </si>
  <si>
    <t>WILMER ANDRES VELOZA LANCHEROS</t>
  </si>
  <si>
    <t>PRESTAR CON PLENA AUTONOMIA ADMINISTRATIVA LOS SERVICIOS PROFESIONALES DE UN INGENIERO EN MECATRÓNICA COMO DESARROLLADOR DE SOFTWARE - FRONTEND PARA EL GRUPO DEL INSTITUTO DE CASAS FISCALES DEL EJÉRCITO</t>
  </si>
  <si>
    <t>ANIEL EDUARDO IREGUI MAYORGA</t>
  </si>
  <si>
    <t>ANGELICA MARIA DAMIAN TIBACUY</t>
  </si>
  <si>
    <t>JUAN PABLO RODRIGUEZ</t>
  </si>
  <si>
    <t>PRESTAR CON PLENA AUTONOMIA LOS SERVICIOS PROFESIONALES DE UN INGENIERO DE SISTEMAS PARA EL SOPORTE DE LA BASE DE DATOS DE LA PLATAFORMA SAIMF PARA EL GRUPO DEL INSTITUTO DE CASAS FISCALES DEL EJÉRCITO.</t>
  </si>
  <si>
    <t>PRESTAR LOS SERVICIOS DE APOYO A LA GESTIÓN DE UN TECNÓLOGO PARA LA ACTUALIZACIÓN Y SEGUIMIENTO DEL SISTEMA DE SEGURIDAD Y SALUD EN EL TRABAJO</t>
  </si>
  <si>
    <t>PRESTAR LOS SERVICIOS DE APOYO A LA GESTION DE UN TECNOLOGO DELINEANTE, PARA LA ESTRUCTURACION DE LOS PROYECTOS DE CONSTRUCCIÓN Y MANTENIMIENTO DE VIVIENDA FISCAL DEL GRUPO PROYECTOS DE INVERSION DEL INSTITUTO DE CASAS FISCALES DEL EJÉRCITO</t>
  </si>
  <si>
    <t>PRESTAR SERVICIOS PROFESIONALES COMO INGENIERO FORESTAL, CON PLENA AUTONOMÍA ADMINISTRATIVA, PARA LA SOLICITUD DEL TRÁMITE DE APROVECHAMIENTO FORESTAL DE LOS PROYECTOS DE CONSTRUCCIÓN Y MANTENIMIENTO DE VIVIENDA FISCAL DEL GRUPO PROYECTOS DE INVERSIÓN DEL INSTITUTO DE CASAS FISCALES DEL EJÉRCITO</t>
  </si>
  <si>
    <t>JESÚS DAVID SANCHEZ ARNEDO</t>
  </si>
  <si>
    <t>ANGELICA GISELL PEREZ BARON</t>
  </si>
  <si>
    <t>OSCAR YESID SOTO SUAREZ</t>
  </si>
  <si>
    <t>DIANA CAROLINA AREVALO FERNANDEZ</t>
  </si>
  <si>
    <t>AURA MARIA VALENCIA JINETE</t>
  </si>
  <si>
    <t>ANGELICA MARIA MUNERA GONZALEZ</t>
  </si>
  <si>
    <t>PRESTAR LOS SERVICIOS DE APOYO A LA GESTION DE UN TECNÓLOGO DELINEANTE, PARA LA ESTRUCTURACION DE LOS PROYECTOS DE CONSTRUCCIÓN Y MANTENIMIENTO DE VIVIENDA FISCAL DEL GRUPO PROYECTOS DE INVERSION DEL INSTITUTO DE CASAS FISCALES DEL EJÉRCITO</t>
  </si>
  <si>
    <t>PRESTAR CON PLENA AUTONOMIA ADMINISTRATIVA LOS SERVICIOS PROFESIONALES COMO INGENIERO ELÉCTRICISTA PARA LA ESTRUCTURACION DE LOS PROYECTOS DE CONSTRUCCIÓN Y MANTENIMIENTO DE VIVIENDA FISCAL DEL GRUPO PROYECTOS DE INVERSIÓN DEL INSTITUTO DE CASAS FISCALES DEL EJÉRCITO</t>
  </si>
  <si>
    <t>CRISTIAN CAMILO RODRIGUEZ CASTRO</t>
  </si>
  <si>
    <t>PRESTAR CON PLENA AUTONOMIA ADMINISTRATIVA LOS SERVICIOS PROFESIONALES DE UN INGENIERO ELECTRONICO PARA APOYAR EN EL DESARROLLO DE COMPONENTES WEB, PARA EL SOFTWARE DEL GRUPO DE INFORMÁTICA Y TIC´S DEL INSTITUTO DE CASAS FISCALES DEL EJÉRCITO</t>
  </si>
  <si>
    <t>FERNANDO DE JESUS PADILLA VELEZ</t>
  </si>
  <si>
    <t>PRESTAR CON PLENA AUTONOMIA ADMINISTRATIVA LOS SERVICIOS PROFESIONALES DE UN INGENIERO DE SISTEMAS COMO DESARROLLADOR DE SOFTWARE PARA EJERCER COMO FRONTEND PARA EL GRUPO DEL INSTITUTO DE CASAS FISCALES DEL EJÉRCITO</t>
  </si>
  <si>
    <t>Topes PAA V38</t>
  </si>
  <si>
    <t>ADQUISICION DE LICENCIAMIENTO DE ANTIVIRUS INFORMÁTICO PARA EL INSTITUTO DE CASAS FISCALES DEL EJÉRCITO</t>
  </si>
  <si>
    <t>OTROS SERVICIOS AUXILARES</t>
  </si>
  <si>
    <t>MANTENIMIENTO Y ACTUALIZACIÓN DEL SISTEMA DE CALL CENTER PARA EL INSTITUTO DE CASAS FISCALES DEL EJÉRCITO.</t>
  </si>
  <si>
    <t>SEGUNDO SEMESTRE</t>
  </si>
  <si>
    <t>PRESTAR LOS  SERVICIOS EN LAS  ACTIVIDADES DE MANTENIMIENTO  BÁSICO Y ACABADOS DE LAS VIVIENDAS FISCALES Y AREAS COMUNES EN LA CIUDAD DE BOGOTA</t>
  </si>
  <si>
    <t>PRESTAR LOS  SERVICIOS EN LAS  ACTIVIDADES DE MANTENIMIENTO  BÁSICO Y ACABADOS DE LAS VIVIENDAS FISCALES Y AREAS COMUNES A NIVEL NACIONAL</t>
  </si>
  <si>
    <t>PRESTAR LOS  SERVICIOS DE UN MAESTRO DE CONSTRUCCION PARA LA INSTALACION Y MANTENIMIENTO DE CUBIERTAS EN LAS VIVIENDAS FISCALES} A NIVEL NACIONAL</t>
  </si>
  <si>
    <t>PRESTAR LOS SERVICIOS DE ACTIVIDADES DE INSTALACIÓN Y MANTENIMIENTO DE CUBIERTAS DE LAS VIVIENDAS FISCALES A NIVEL NACIONAL</t>
  </si>
  <si>
    <t>PRESTAR LOS SERVICIOS DE VIGILANCIA Y SEGURIDAD PRIVADA SIN ARMAS PARA EL CONJUNTO RESIDENCIAL “HEROES DE COLOMBIA” EN LA CIUDAD DE BOGOTÁ  (Para tramitar vigencias futuras del 2026)</t>
  </si>
  <si>
    <t>PRESTAR LOS SERVICIOS DE LIMPIEZA Y ASEO DE ÁREAS COMUNES DE VIVIENDAS FISCALES DE LA CIUDAD DE BOGOTÁ (Para tramitar vigencias futuras del 2026)</t>
  </si>
  <si>
    <t>PRESTAR LOS SERVICIOS DE LIMPIEZA Y ASEO DE ÁREAS COMUNES DE VIVIENDAS FISCALES DE LAS SECCIONALES BUCARAMANGA, CALI, TOLEMAIDA Y VILLAVICENCIO    (Para tramitar vigencias futuras del 2026)</t>
  </si>
  <si>
    <t>PRESTAR LOS SERVICIOS DE EXTERMINACIÓN DE PLAGAS Y CONTROL QUÍMICO DE VECTORES DE LOS CONJUNTOS RESIDENCIALES DE LA GUARNICIÓN BOGOTÁ Y NIVEL NACIONAL</t>
  </si>
  <si>
    <t>PRESTAR LOS SERVICIOS DE LAVADO Y DESINFECCIÓN DE TANQUES DE AGUA POTABLE DE LAS VIVIENDAS DEL INSTITUTO DE CASAS  FISCALES DEL EJERCITO A NIVEL NACIONAL</t>
  </si>
  <si>
    <t>ADQUISICION  DE ELEMENTOS DE PROTECCIÓN CONTRA CAÍDAS  PARA LOS SERVIDORES PÚBLICOS DEL INSTITUTO DE CASAS FISCALES DEL EJÉRCITO</t>
  </si>
  <si>
    <t>SUMINISTRO DE ELEMENTOS DE SEGURIDAD INDUSTRIAL Y DOTACIÓN SST PARA LOS FUNCIONARIOS DEL INSTITUTO DE CASAS FISCALES DE EJERCITO (1 de 4)</t>
  </si>
  <si>
    <t>SUMINISTRO DE ELEMENTOS DE SEGURIDAD INDUSTRIAL Y DOTACIÓN SST PARA LOS FUNCIONARIOS DEL INSTITUTO DE CASAS FISCALES DE EJERCITO (2 de 4)</t>
  </si>
  <si>
    <t>SUMINISTRO DE ELEMENTOS DE SEGURIDAD INDUSTRIAL Y DOTACIÓN SST PARA LOS FUNCIONARIOS DEL INSTITUTO DE CASAS FISCALES DE EJERCITO (3 de 4)</t>
  </si>
  <si>
    <t>SUMINISTRO E INSTALACIÓN  DE ELEMENTOS DE SEÑALIZACIÓN Y OTROS ELEMENTOS DE INFORMACIÓN PARA EL INSTITUTO DE CASAS FISCALES DEL EJÉRCITO.</t>
  </si>
  <si>
    <t>SUMINISTRO DE ELEMENTOS DE SEGURIDAD INDUSTRIAL Y DOTACIÓN SST PARA LOS FUNCIONARIOS DEL INSTITUTO DE CASAS FISCALES DEL EJERCITO (4 de 4)</t>
  </si>
  <si>
    <t>ADQUISICION Y RECARGA DE EXTINTORES A NIVEL NACIONAL PARA EL INSTITUTO  DE CASAS FISCALES DEL EJERCITO</t>
  </si>
  <si>
    <t xml:space="preserve">ADQUISICIÓN  DE ELEMENTOS PARA ATENCIÓN DE PRIMEROS AUXILIOS PARA LOS CONJUNTOS RESIDENCIALES DEL INSTITUTO DE CASAS FISCALES DEL EJERCITO </t>
  </si>
  <si>
    <t xml:space="preserve">LICITACION </t>
  </si>
  <si>
    <t xml:space="preserve">CONCURSO DE MERITOS ABIERTO </t>
  </si>
  <si>
    <t>MANTENIMIENTO A TODO COSTO DE UN EDIFICIO DE APARTAMENTOS DE VIVIENDA FISCAL PARA EL PERSONAL DE SUBOFICIALES EN LA SECCIONAL DE TOLEMAIDA , “HEROES DE TOLEMAIDA” DEL INSTITUTO DE CASAS FISCALES DEL EJÉRCITO</t>
  </si>
  <si>
    <t>MANTENIMIENTO A TODO COSTO DE DOS EDIFICIOS DE APARTAMENTOS DE VIVIENDA FISCAL PARA EL PERSONAL DE SUBOFICIALES EN LA SECCIONAL DE BARRANQUILLA, “CARIBE”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</si>
  <si>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SUBOFICIALES EN LA SECCIONAL DE BARRANQUILLA, “CARIBE” DEL INSTITUTO DE CASAS FISCALES DEL EJÉRCITO</t>
  </si>
  <si>
    <t>MANTENIMIENTO A TODO COSTO DE LOS TANQUES DE RESERVA DE LOS EDIFICIOS DE APARTAMENTOS DE VIVIENDAS FISCALES PARA EL PERSONAL DE OFICIALES Y SUBOFICIALES EN BOGOTA Y A NIVEL NACIONAL</t>
  </si>
  <si>
    <t>INTERVENTORÍA TÉCNICA, ADMINISTRATIVA, FINANCIERA, CONTABLE, JURÍDICA Y AMBIENTAL A LAS OBRAS DE MANTENIMIENTO A TODO COSTO DE LOS TANQUES DE RESERVA DE LOS EDIFICIOS DE APARTAMENTOS DE VIVIENDAS FISCALES PARA EL PERSONAL DE OFICIALES Y SUBOFICIALES EN BOGOTA Y A NIVEL NACIONAL</t>
  </si>
  <si>
    <t>81101500 
80101500
80121601
80121609
80121704</t>
  </si>
  <si>
    <t xml:space="preserve">ADQUISICION DE EQUIPOS DE DIAGNOSTICO PARA LA IDENTIFICACION DE PATOLOGIAS DE LOS EDIFICIOS QUE VAN A SER INTERVENIDOS EN  EL PROYECTO DE MANTENIMIENTO </t>
  </si>
  <si>
    <t>C-1505-0100-03</t>
  </si>
  <si>
    <t>16 MESES</t>
  </si>
  <si>
    <t>C-1505-0100-04</t>
  </si>
  <si>
    <t>PRESTACION DE SERVICIOS DE UN PROFESIONAL PARA APOYO OFICINA DE CONTROL INTERNO PARA AUDITORÍAS Y SEGUIMIENTOS A LA GESTION MISIONAL DE LA ENTIDAD </t>
  </si>
  <si>
    <t>MANTENIMIENTO PREVENTIVO Y CORRECTIVO CON SUMINISTRO E INSTALACIÓN DE REPUESTOS, ASI COMO LA CERTIFICACIÓN DE ACUERDO A LA NORMA NTC 5926-1:2021  DE LOS ASCENSORES DEL INSTITUTO DE CASAS FISCALES DEL EJÉRCITO (Vigencis futuras 2025)</t>
  </si>
  <si>
    <t>APOYO ECONÓMICO PARA LOS SERVIDORES PÚBLICOS DEL INSTITUTO DE CASAS FISCALES DEL EJÉRCITO ESTIMULO EDUCATIVO (Apoyo para la Educación Formal Superior)</t>
  </si>
  <si>
    <t>SUMINISTRO E INSTALACIÓN DE VIDRIOS CRUDOS, TEMPLADOS Y CARPINTERÍA EN ALUMINIO  PARA EL MANTENIMIENTO  DE LAS VIVIENDAS FISCALES DEL INSTITUTO DE CASAS FISCALES DEL EJÉRCITO A NIVEL NACIONAL</t>
  </si>
  <si>
    <t>MANTENIMIENTO PREVENTIVO Y CORRECTIVO CON SUMINISTRO E INSTALACIÓN DE REPUESTOS, ASI COMO LA CERTIFICACIÓN DE ACUERDO A LA NORMA NTC 5926-1:2021  DE LOS ASCENSORES DEL INSTITUTO DE CASAS FISCALES DEL EJÉRCITO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</si>
  <si>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</si>
  <si>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t>
  </si>
  <si>
    <t>SERVICIO DE MANTENIMIENTO PREVENTIVO Y CORRECTIVO DE LOS SISTEMAS: NEUMATICO, VENTILACION MECÁNICA y CONTRA INCENDIO DEL EDIFICIO DE TALLERES DEL INSTITUTO DE CASAS FISCALES DEL EJÉRCITO</t>
  </si>
  <si>
    <t>SERVICIO DE REPARACIÓN E INSTALACIÓN DE SHUT DE BASURAS PARA EL EDIFICIO JUANAMBU DEL CONJUNTO RESIDENCIAL SANTA ANA DEL INSTITUTO DE CASAS FISCALES DEL EJÉRCITO</t>
  </si>
  <si>
    <t>PRESTAR LOS SERVICIOS DE APLICACIÓN DE PINTURA EN ESTRUCTURAS DE ACUERDO AL TIPO DE ACABADO  EN LAS VIVIENDAS FISCALES Y AREAS COMUNES  DELI NSTITUTO DE CASAS FISCALES DEL EJÉRCITO EN LA CIUDAD DE BOGOTÁ</t>
  </si>
  <si>
    <t xml:space="preserve">PRESTAR LOS SERVICIOS DE FORMACION Y CERTIFICACION DE ENTRENAMIENTO  PARA TRABAJO SEGURO EN ALTURAS Y  EN EL ARME Y DESARME DE ANDAMIOS PARA LOS COLABORADORES DEL INSTITUTO DE CASAS FISCALES DEL EJÉRCITO  A NIVEL NACIONAL </t>
  </si>
  <si>
    <t>PRESTACIÓN DE SERVICIOS PROFESIONALES DE APOYO A LA GESTIÓN PARA REALIZAR “PARA LA IMPLEMENTACIÓN DEL SISTEMA DE SEGURIDAD Y SALUD EN EL TRABAJO E INTEGRACIÓN CON OTROS SISTEMAS DE GESTIÓN A NIVEL INTERNO Y LA SUPERVISIÓN A CONTRATISTAS POR PARTE DEL INSTITUTO DE CASAS FISCALES DEL EJÉRCITO</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</si>
  <si>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t>
  </si>
  <si>
    <t>PRESTACIÓN DE SERVICIOS EN EL CONTROL DE ABEJAS Y DISPOSICIÓN DE ESTAS EN LAS ZONAS QUE NO REPRESENTAN RIESGO PARA LA COMUNIDAD EN LAS SECCIONALES DEL INSTITUTO DE CASAS FISCALES DEL EJÉRCITO A NIVEL NACIONAL</t>
  </si>
  <si>
    <t>SUMINISTRO DE PRODUCTOS DE ASEO Y DE CAFETERÍA PARA EL INSTITUTO DE CASAS FISCALES DEL EJÉRCITO (1 de 7)</t>
  </si>
  <si>
    <t>SUMINISTRO DE PRODUCTOS DE ASEO Y DE CAFETERÍA PARA EL INSTITUTO DE CASAS FISCALES DEL EJÉRCITO (2 de 7)</t>
  </si>
  <si>
    <t>SUMINISTRO DE PRODUCTOS DE ASEO Y DE CAFETERÍA PARA EL INSTITUTO DE CASAS FISCALES DEL EJÉRCITO (3 de 7)</t>
  </si>
  <si>
    <t>SUMINISTRO DE PRODUCTOS DE ASEO Y DE CAFETERÍA PARA EL INSTITUTO DE CASAS FISCALES DEL EJÉRCITO (4 de 7)</t>
  </si>
  <si>
    <t>SUMINISTRO DE DOTACIÓN PARA EL PERSONAL DE EMPLEADOS PÚBLICOS Y  TRABAJADORES OFICIALES DEL INSTITUTO DE CASAS FISCALES DEL EJÉRCITO</t>
  </si>
  <si>
    <t>SUMINISTRO DE PRODUCTOS DE ASEO Y DE CAFETERÍA PARA EL INSTITUTO DE CASAS FISCALES DEL EJÉRCITO (5 de 7)</t>
  </si>
  <si>
    <t>SUMINISTRO DE PRODUCTOS DE ASEO Y DE CAFETERÍA PARA EL IINSTITUTO DE CASAS FISCALES DEL EJÉRCITO (6 de 7)</t>
  </si>
  <si>
    <t>SUMINISTRO DE PRODUCTOS DE ASEO Y DE CAFETERÍA PARA EL INSTITUTO DE CASAS FISCALES DEL EJÉRCITO (7 de 7)</t>
  </si>
  <si>
    <t>MANTENIMIENTO PREVENTIVO Y CORRECTIVO A TODO COSTO Y REPUESTOS PARA LOS VEHICULOS DEL INSTITUTO DE CASAS FISCALES DEL EJÉRCITO</t>
  </si>
  <si>
    <t>PRESTAR LOS  SERVICIOS TÉCNICOS EN CARPINTERIA EN ALUMINIO Y VIDRIO PARA EL MANTENIMIENTO  DE LAS VIVIENDAS FISCALES DEL INSTITUTO DE CASAS FISCALES DEL EJÉRCITO A NIVEL NACIONAL</t>
  </si>
  <si>
    <t>PRESTACIÓN DE SERVICIOS PROFESIONALES DE APOYO A LA GESTIÓN PARA REALIZAR “PARA LA IMPLEMENTACIÓN DEL SISTEMA EN ISO 9001 DE CONTINUIDAD DEL NEGOCIO CON OTROS SISTEMAS DE GESTIÓN DEL INSTITUTO DE CASAS FISCALES DEL EJÉRCITO.</t>
  </si>
  <si>
    <r>
      <t>PRESTAR CON PLENA AUTONOMIA ADMINISTRATIVA LOS SERVICIOS PROFESIONALES DE UN ABOGADO ESPECIALIZADO EN APOYO A LA OFICINA DE ASESORÍA JURÍDICA DEL INSTITUTO DE CASAS FISCALES DEL EJÉRCITO NACIONAL -</t>
    </r>
    <r>
      <rPr>
        <sz val="12"/>
        <color rgb="FFFF0000"/>
        <rFont val="Arial"/>
        <family val="2"/>
      </rPr>
      <t xml:space="preserve"> BENAVIDES MURILLO JHONNY ALFONSO</t>
    </r>
  </si>
  <si>
    <r>
      <t xml:space="preserve">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t>
    </r>
    <r>
      <rPr>
        <sz val="12"/>
        <color rgb="FFFF0000"/>
        <rFont val="Arial"/>
        <family val="2"/>
      </rPr>
      <t>LONDOÑO PARADA JUAN SEBASTIAN</t>
    </r>
  </si>
  <si>
    <r>
      <t>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sz val="12"/>
        <color rgb="FFFF0000"/>
        <rFont val="Arial"/>
        <family val="2"/>
      </rPr>
      <t>MARTINEZ LAGUNA GENNY MERCEDES</t>
    </r>
  </si>
  <si>
    <r>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r>
    <r>
      <rPr>
        <sz val="12"/>
        <color rgb="FFFF0000"/>
        <rFont val="Arial"/>
        <family val="2"/>
      </rPr>
      <t xml:space="preserve"> -MENDEZ GONZALEZ KAROL DAYANA</t>
    </r>
  </si>
  <si>
    <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r>
    <r>
      <rPr>
        <sz val="12"/>
        <color rgb="FFFF0000"/>
        <rFont val="Arial"/>
        <family val="2"/>
      </rPr>
      <t>-MONCADA ESPITIA ANDRES</t>
    </r>
  </si>
  <si>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-RODRIGUEZ MORA JUAN PABLO</t>
    </r>
  </si>
  <si>
    <r>
      <t>PRESTAR CON PLENA AUTONOMÍA ADMINISTRATIVA LOS SERVICIOS PROFESIONALES DE UN INGENIERO DE SISTEMAS O AFINES COMO LIDER DEL GRUPO DE DESARROLLO, ADMINISTRADOR Y DISEÑADOR DE BASES DE DATOS PARA EL GRUPO DEL INSTITUTO DE CASAS FISCALES DEL EJÉRCITO</t>
    </r>
    <r>
      <rPr>
        <sz val="12"/>
        <color rgb="FFFF0000"/>
        <rFont val="Arial"/>
        <family val="2"/>
      </rPr>
      <t xml:space="preserve">  -NIÑO ARIAS JEISSON ANDRES</t>
    </r>
  </si>
  <si>
    <r>
      <t>PRESTAR CON PLENA AUTONOMIA ADMINISTRATIVA LOS SERVICIOS PROFESIONALES CON EXPERIENCIA EN ARQUITECTURA, LEVANTAMIENTO DE INFORMACION Y PRUEBAS DE SOFTWARE - PARA EL GRUPO DEL INSTITUTO DE CASAS FISCALES DEL EJÉRCITO -</t>
    </r>
    <r>
      <rPr>
        <sz val="12"/>
        <color rgb="FFFF0000"/>
        <rFont val="Arial"/>
        <family val="2"/>
      </rPr>
      <t xml:space="preserve">RODRIGUEZ RINCON JENNIFER PAOLA </t>
    </r>
  </si>
  <si>
    <r>
      <t xml:space="preserve">PRESTAR CON PLENA AUTONOMIA ADMINISTRATIVA LOS SERVICIOS PROFESIONALES DE UN INGENIERO DE SISTEMAS O A FINES COMO DESARROLLADOR DE SOFTWARE FRONTEND - PARA EL GRUPO DEL INSTITUTO DE CASAS FISCALES DEL EJÉRCITO </t>
    </r>
    <r>
      <rPr>
        <sz val="12"/>
        <color rgb="FFFF0000"/>
        <rFont val="Arial"/>
        <family val="2"/>
      </rPr>
      <t>-VELOZA LANCHEROS WILMER ANDRES</t>
    </r>
  </si>
  <si>
    <r>
      <t>PRESTAR CON PLENA AUTONOMIA ADMINISTRATIVA LOS SERVICIOS PROFESIONALES DE UN INGENIERO DE SISTEMAS O A FINES COMO DESARROLLADOR DE SOFTWARE FRONTEND - PARA EL GRUPO DEL INSTITUTO DE CASAS FISCALES DEL EJÉRCITO</t>
    </r>
    <r>
      <rPr>
        <sz val="12"/>
        <color rgb="FFFF0000"/>
        <rFont val="Arial"/>
        <family val="2"/>
      </rPr>
      <t xml:space="preserve"> -PADILLA VELEZ FERNANDO DE JESUS</t>
    </r>
  </si>
  <si>
    <r>
      <t>PRESTAR CON PLENA AUTONOMIA ADMINISTRATIVA LOS SERVICIOS PROFESIONALES DE UN INGENIERO DE SISTEMAS O A FINES COMO DESARROLLADOR DE SOFTWARE BACKEND - PARA EL GRUPO DEL INSTITUTO DE CASAS FISCALES DEL EJÉRCITO-  I</t>
    </r>
    <r>
      <rPr>
        <sz val="12"/>
        <color rgb="FFFF0000"/>
        <rFont val="Arial"/>
        <family val="2"/>
      </rPr>
      <t>REGUI MAYORGA DANIEL EDUARDO</t>
    </r>
  </si>
  <si>
    <r>
      <t>PRESTAR CON PLENA AUTONOMÍA ADMINISTRATIVA LOS SERVICIOS PROFESIONALES DE UN INGENIERO DE SISTEMAS O AFINES COMO DISEÑADOR WEB Y EXPERIENCIA DE USUARIO PARA EL GRUPO DEL INSTITUTO DE CASAS FISCALES DEL EJÉRCITO -</t>
    </r>
    <r>
      <rPr>
        <sz val="12"/>
        <color rgb="FFFF0000"/>
        <rFont val="Arial"/>
        <family val="2"/>
      </rPr>
      <t>RODRIGUEZ CASTRO CRISTIAN CAMILO</t>
    </r>
  </si>
  <si>
    <r>
      <t>PRESTAR CON PLENA AUTONOMIA ADMINISTRATIVA LOS SERVICIOS PROFESIONALES DE UN ECONOMICO ESPECIALISTA EN EL AREA DE ADQUISICIÓN DE BIENES Y SERVICIOS DELINSTITUTO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t>
    </r>
    <r>
      <rPr>
        <sz val="12"/>
        <color rgb="FFFF0000"/>
        <rFont val="Arial"/>
        <family val="2"/>
      </rPr>
      <t xml:space="preserve"> - PRADA CORREA PAOLA ANDREA</t>
    </r>
  </si>
  <si>
    <r>
      <t xml:space="preserve">PRESTAR CON PLENA AUTONOMIA ADMINISTRATIVA LOS SERVICIOS PROFESIONALES DE UN ABOGADO ESPECIALISTA EN EL AREA DE ADQUISICIÓN DE BIENES Y SERVICIOS DEL 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 AVILA AMEZQUITA LINA MARIA</t>
    </r>
  </si>
  <si>
    <r>
      <t>PRESTAR CON PLENA AUTONOMIA ADMINISTRATIVA LOS SERVICIOS PROFESIONALES DE UN ECONOMICO AL AREA DE ADQUISICIÓN DE BIENES Y SERVICIOS EN 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sz val="12"/>
        <color rgb="FFFF0000"/>
        <rFont val="Arial"/>
        <family val="2"/>
      </rPr>
      <t>PEREZ PATIÑO RAUL HUMBERTO</t>
    </r>
  </si>
  <si>
    <r>
      <t xml:space="preserve">PRESTAR CON PLENA AUTONOMIA ADMINISTRATIVA LOS SERVICIOS PROFESIONALES DE UN ECONOMICO ESPECIALISTA EN EL AREA DE ADQUISICIÓN DE BIENES Y SERVICIOS DEL 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 </t>
    </r>
    <r>
      <rPr>
        <sz val="12"/>
        <color rgb="FFFF0000"/>
        <rFont val="Arial"/>
        <family val="2"/>
      </rPr>
      <t>-PINEDA JAIMES GLORIA MARCELA</t>
    </r>
  </si>
  <si>
    <r>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r>
    <r>
      <rPr>
        <sz val="12"/>
        <color rgb="FFFF0000"/>
        <rFont val="Arial"/>
        <family val="2"/>
      </rPr>
      <t xml:space="preserve"> -HERRAN PRIETO MARCELA ALEJANDRA</t>
    </r>
  </si>
  <si>
    <r>
      <t xml:space="preserve">PRESTAR CON PLENA AUTONOMIA ADMINISTRATIVA LOS SERVICIOS PROFESIONALES DE UN ABOGADO ESPECIALISTA EN EL AREA DE ADQUISICIÓN DE BIENES Y SERVICIOS DELINSTITUTO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-AYALA BAUTISTA EDILMA ANDREA</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</si>
  <si>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-MENDEZ VARGAS YURY VANESSA</t>
    </r>
  </si>
  <si>
    <r>
      <t xml:space="preserve">PRESTACIÓN DE SERVICIO PARA APOYO ADMINISTRATIVO AL ÁREA DE GESTIÓN DOCUMENTAL </t>
    </r>
    <r>
      <rPr>
        <sz val="12"/>
        <color rgb="FFFF0000"/>
        <rFont val="Arial"/>
        <family val="2"/>
      </rPr>
      <t>-MORA HERNANDEZ SOFIA</t>
    </r>
  </si>
  <si>
    <r>
      <t xml:space="preserve">PRESTACIÓN DE SERVICIO PARA APOYO ADMINISTRATIVO AL ÁREA DE GESTIÓN DOCUMENTAL </t>
    </r>
    <r>
      <rPr>
        <sz val="12"/>
        <color rgb="FFFF0000"/>
        <rFont val="Arial"/>
        <family val="2"/>
      </rPr>
      <t>-SARMIENTO TORRES BARBARA</t>
    </r>
  </si>
  <si>
    <r>
      <t xml:space="preserve">PRESTACIÓN DE SERVICIO PARA APOYO ADMINISTRATIVO AL ÁREA DE GESTIÓN DOCUMENTAL </t>
    </r>
    <r>
      <rPr>
        <sz val="12"/>
        <color rgb="FFFF0000"/>
        <rFont val="Arial"/>
        <family val="2"/>
      </rPr>
      <t>- BAUTISTA DIEGO FERNANDO</t>
    </r>
  </si>
  <si>
    <r>
      <t>PRESTACIÓN DE SERVICIO PARA APOYO ADMINISTRATIVO AL ÁREA DE GESTIÓN DOCUMENTAL</t>
    </r>
    <r>
      <rPr>
        <sz val="12"/>
        <color rgb="FFFF0000"/>
        <rFont val="Arial"/>
        <family val="2"/>
      </rPr>
      <t xml:space="preserve"> -RODRIGUEZ REYES JOHN</t>
    </r>
  </si>
  <si>
    <r>
      <t xml:space="preserve">PRESTACIÓN DE SERVICIO PARA APOYO ADMINISTRATIVO AL ÁREA DE GESTIÓN DOCUMENTAL </t>
    </r>
    <r>
      <rPr>
        <sz val="12"/>
        <color rgb="FFFF0000"/>
        <rFont val="Arial"/>
        <family val="2"/>
      </rPr>
      <t>-ADICION</t>
    </r>
  </si>
  <si>
    <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BERNAL </t>
    </r>
    <r>
      <rPr>
        <sz val="12"/>
        <color rgb="FFFF0000"/>
        <rFont val="Arial"/>
        <family val="2"/>
      </rPr>
      <t>- MORA YULI FERNANDA</t>
    </r>
  </si>
  <si>
    <r>
      <t xml:space="preserve">PRESTACIÓN DE SERVICIOS TECNOLOGICOS DE APOYO A LA GESTIÓN PARA REALIZAR “PARA LA IMPLEMENTACIÓN DEL SISTEMA DE SEGURIDAD Y SALUD EN EL TRABAJO E INTEGRACIÓN CON OTROS SISTEMAS DE GESTIÓN A NIVEL INTERNO Y LA SUPERVISIÓN A CONTRATISTAS POR PARTE DEL INSTITUTO DE CASAS FISCALES DEL EJÉRCITO. </t>
    </r>
    <r>
      <rPr>
        <sz val="12"/>
        <color rgb="FFFF0000"/>
        <rFont val="Arial"/>
        <family val="2"/>
      </rPr>
      <t>-TRIANA RAMIREZ JERSON FERNANDO</t>
    </r>
  </si>
  <si>
    <r>
      <t>PRESTACIÓN DE SERVICIOS PROFESIONALES DE APOYO A LA GESTIÓN PARA REALIZAR “PARA LA IMPLEMENTACIÓN DEL SISTEMA DE GESTIÓN AMBIENTAL NACIONAL CON OTROS SISTEMAS DE GESTIÓN DELI NSTITUTO DE CASAS FISCALES DEL EJÉRCITO. -</t>
    </r>
    <r>
      <rPr>
        <sz val="12"/>
        <color rgb="FFFF0000"/>
        <rFont val="Arial"/>
        <family val="2"/>
      </rPr>
      <t>SANCHEZ CASTAÑEDA LUZ ALEJANDRA</t>
    </r>
  </si>
  <si>
    <r>
      <t xml:space="preserve">PRESTACIÓN DE SERVICIOS PROFESIONALES PARA LA ADMINISTRACIÓN DE LOS INVENTARIOS EN EL SISTEMA SAP DEL INSTITUTO DE CASAS FISCALES DEL EJÉRCITO </t>
    </r>
    <r>
      <rPr>
        <sz val="12"/>
        <color rgb="FFFF0000"/>
        <rFont val="Arial"/>
        <family val="2"/>
      </rPr>
      <t>- BUITRAGO GONZALEZ VICTOR HUGO</t>
    </r>
  </si>
  <si>
    <r>
      <t xml:space="preserve">PRESTACIÓN DE SERVICIOS TECNOLÓGICOS DE APOYO A LA GESTIÓN PARA EL AREA DE SERVICIOS PUBLICOS DEL INSTITUTO DE CASAS FISCALES DEL EJÉRCITO </t>
    </r>
    <r>
      <rPr>
        <sz val="12"/>
        <color rgb="FFFF0000"/>
        <rFont val="Arial"/>
        <family val="2"/>
      </rPr>
      <t>-MENJURA IDARRAGA DANIELA</t>
    </r>
  </si>
  <si>
    <r>
      <t>PRESTAR LOS  SERVICIOS TÉCNICOS DE INSTALACIONES DE GAS DOMICILIARIAS PARA LAS VIVIENDAS FISCALES DEL INSTITUTO DE CASAS FISCALES DEL EJÉRCITO -</t>
    </r>
    <r>
      <rPr>
        <sz val="12"/>
        <color rgb="FFFF0000"/>
        <rFont val="Arial"/>
        <family val="2"/>
      </rPr>
      <t>JIMENEZ ROJAS CIRO ALBERTO</t>
    </r>
  </si>
  <si>
    <r>
      <t xml:space="preserve">PRESTAR LOS SERVICIOS TÉCNICOS DE INSTALACIONES ELÉCTRICAS DOMICILIARIAS PARA LAS VIVIENDAS FISCALES DELINSTITUTO DE CASAS FISCALES DEL EJÉRCITO </t>
    </r>
    <r>
      <rPr>
        <sz val="12"/>
        <color rgb="FFFF0000"/>
        <rFont val="Arial"/>
        <family val="2"/>
      </rPr>
      <t>-GOMEZ GALLEGO MILTON FABIAN</t>
    </r>
  </si>
  <si>
    <r>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-SOTO SUAREZ OSCAR YESID</t>
    </r>
  </si>
  <si>
    <t>NECESIDADES VIGENCIA 2025</t>
  </si>
  <si>
    <t>ASIGNACION PROYECTO 2025</t>
  </si>
  <si>
    <t>ACTUALIZACIÓN, SOPORTE Y VERSIONAMIENTO PARA LA PLATAFORMA DE GESTIÓN DOCUMENTAL DEL INSTITUTO DE CASAS FISCALES DEL EJERCITO( Control doc)</t>
  </si>
  <si>
    <r>
      <t xml:space="preserve">PRESTACIÓN DE SERVICIO PARA APOYO ADMINISTRATIVO AL ÁREA DE GESTIÓN DOCUMENTAL </t>
    </r>
    <r>
      <rPr>
        <sz val="12"/>
        <color rgb="FFFF0000"/>
        <rFont val="Arial"/>
        <family val="2"/>
      </rPr>
      <t xml:space="preserve">-CARREÑO BURGOS IVAN DARIO - </t>
    </r>
  </si>
  <si>
    <r>
      <t>PRESTACIÓN DE SERVICIO PARA APOYO ADMINISTRATIVO AL ÁREA DE GESTIÓN DOCUMENTAL</t>
    </r>
    <r>
      <rPr>
        <sz val="12"/>
        <color rgb="FFFF0000"/>
        <rFont val="Arial"/>
        <family val="2"/>
      </rPr>
      <t xml:space="preserve"> -ROJAS POLO GABRIELA</t>
    </r>
  </si>
  <si>
    <t>ACTUALIZACIÓN Y MANTENIMIENTO Y REPUESTOS DE LOS SISTEMAS DE CONTROL DE ACCESO PEATONAL Y VEHICULAR PARA LOS CONJUNTOS RESIDENCIALES DE LA CIUDAD DE BOGOTA</t>
  </si>
  <si>
    <t>ADQUISICIÓN MANTENIMIENTO PREVENTIVO Y CORRECTIVO DEL CIRCUITO CERRADO DE TELEVISION DE LOS CONJUNTOS RESIDENCIALES (LIBERTADORES, BACATA Y HEROES) DEL INSTITUTO DE CASAS FISCALES DEL EJÉRCITO UBICADOS EN LA CIUDAD DE BOGOTÁ</t>
  </si>
  <si>
    <r>
      <t xml:space="preserve">PRESTAR CON PLENA AUTONOMIA ADMINISTRATIVA LOS SERVICIOS PROFESIONALES DE UN INGENIERO DE SISTEMAS O AFINES COMO LIDER TECNICO DE DESARROLLO DE SOFTWARE - PARA EL GRUPO DEL INSTITUTO DE CASAS FISCALES DEL EJÉRCITO </t>
    </r>
    <r>
      <rPr>
        <sz val="12"/>
        <color rgb="FFFF0000"/>
        <rFont val="Arial"/>
        <family val="2"/>
      </rPr>
      <t>-EDISON MONDRAGON</t>
    </r>
  </si>
  <si>
    <r>
      <t>PRESTAR CON PLENA AUTONOMIA ADMINISTRATIVA LOS SERVICIOS PROFESIONALES DE UN INGENIERO DE SISTEMAS O A FINES COMO DESARROLLADOR DE SOFTWARE BACKEND - PARA EL GRUPO DEL INSTITUTO DE CASAS FISCALES DEL EJÉRCITO</t>
    </r>
    <r>
      <rPr>
        <sz val="12"/>
        <color rgb="FFFF0000"/>
        <rFont val="Arial"/>
        <family val="2"/>
      </rPr>
      <t xml:space="preserve"> - CRISTIAN RODRIGUEZ</t>
    </r>
  </si>
  <si>
    <t xml:space="preserve">PRESTAR CON PLENA AUTONOMIA ADMINISTRATIVA LOS SERVICIOS PROFESIONALES DE UN ABOGADO ESPECIALISTA PARA EL APOYO EN LA EJECUCIÓN DE LAS ACTIVIDADES RELACIONADAS CON LOS PROCESOS PRECONTRACTUALES, CONTRACTUALES Y POS CONTRACTUALES DE CONFORMIDAD CON LAS LEYES VIGENTES Y APOYAR EN LA GESTIÓN ADMINISTRATIVA QUE SE ADELANTE EN EL GRUPO DE TALENTO HUMANO DEL ICFE         </t>
  </si>
  <si>
    <r>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r>
    <r>
      <rPr>
        <sz val="12"/>
        <color rgb="FFFF0000"/>
        <rFont val="Arial"/>
        <family val="2"/>
      </rPr>
      <t>SOPO URIBE JOSE GILBERTO</t>
    </r>
  </si>
  <si>
    <r>
      <t>PRESTAR CON PLENA AUTONOMÍA ADMINISTRATIVA LOS SERVICIOS PROFESIONALES DE UN ESPECIALISTA EN GESTION PUBLICA O AFINES PARA APOYAR AL AREA DE PLANEACION EN REALIZAR LAS ACTIVIDADES DE GESTIÓN DOCUMENTAL Y SEGUIMIENTO A PLANES INSTITUCIONALES, CORRESPONDIENTES AL MODELO INTEGRADO DE PLANEACIÓN Y GESTIÓN MIPG, FURAG,  SEGUIMIENTO AL PLAN ANUAL DE ADQUISICIONES Y CONSOLIDACION DE ESTADISTICAS EN EL ÁREA DE PLANEACIÓN DEL INSTITUTO DE CASAS FISCALES DEL EJERCITO</t>
    </r>
    <r>
      <rPr>
        <sz val="12"/>
        <color rgb="FFFF0000"/>
        <rFont val="Arial"/>
        <family val="2"/>
      </rPr>
      <t xml:space="preserve"> PROFESIONAL.</t>
    </r>
  </si>
  <si>
    <t>PRESTACIÓN DE SERVICIOS PROFESIONALES DE APOYO A LA GESTIÓN PARA REALIZAR “PARA LA IMPLEMENTACIÓN DEL SISTEMA DE GESTIÓN AMBIENTAL NACIONAL CON OTROS SISTEMAS DE GESTIÓN DELI NSTITUTO DE CASAS FISCALES DEL EJÉRCITO.</t>
  </si>
  <si>
    <t xml:space="preserve">PRESTACIÓN DE SERVICIOS PROFESIONALES PARA LA ADMINISTRACIÓN DE LOS INVENTARIOS EN EL SISTEMA SAP DEL INSTITUTO DE CASAS FISCALES DEL EJÉRCITO </t>
  </si>
  <si>
    <t>PRESTACIÓN DE SERVICIOS TECNOLÓGICOS DE APOYO A LA GESTIÓN PARA EL AREA DE SERVICIOS PUBLICOS DEL INSTITUTO DE CASAS FISCALES DEL EJÉRCITO</t>
  </si>
  <si>
    <t>PRESTAR LOS  SERVICIOS TÉCNICOS DE INSTALACIONES DE GAS DOMICILIARIAS PARA LAS VIVIENDAS FISCALES DEL INSTITUTO DE CASAS FISCALES DEL EJÉRCITO</t>
  </si>
  <si>
    <t xml:space="preserve">PRESTAR LOS SERVICIOS TÉCNICOS DE INSTALACIONES ELÉCTRICAS DOMICILIARIAS PARA LAS VIVIENDAS FISCALES DELINSTITUTO DE CASAS FISCALES DEL EJÉRCITO </t>
  </si>
  <si>
    <r>
      <t>PRESTACIÓN DE SERVICIO PARA APOYO ADMINISTRATIVO AL ÁREA DE GESTIÓN DOCUMENTAL</t>
    </r>
    <r>
      <rPr>
        <sz val="12"/>
        <color rgb="FFFF0000"/>
        <rFont val="Arial"/>
        <family val="2"/>
      </rPr>
      <t xml:space="preserve"> </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</si>
  <si>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t>
    </r>
  </si>
  <si>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</si>
  <si>
    <t xml:space="preserve">PRESTAR CON PLENA AUTONOMIA ADMINISTRATIVA LOS SERVICIOS PROFESIONALES DE UN INGENIERO DE SISTEMAS O A FINES COMO DESARROLLADOR DE SOFTWARE BACKEND - PARA EL GRUPO DEL INSTITUTO DE CASAS FISCALES DEL EJÉRCITO-  </t>
  </si>
  <si>
    <t>PRESTAR CON PLENA AUTONOMIA ADMINISTRATIVA LOS SERVICIOS PROFESIONALES DE UN INGENIERO DE SISTEMAS O A FINES COMO DESARROLLADOR DE SOFTWARE BACKEND - PARA EL GRUPO DEL INSTITUTO DE CASAS FISCALES DEL EJÉRCITO</t>
  </si>
  <si>
    <t>PRESTAR CON PLENA AUTONOMIA ADMINISTRATIVA LOS SERVICIOS PROFESIONALES DE UN INGENIERO DE SISTEMAS O A FINES COMO DESARROLLADOR DE SOFTWARE FRONTEND - PARA EL GRUPO DEL INSTITUTO DE CASAS FISCALES DEL EJÉRCITO</t>
  </si>
  <si>
    <t>PRESTAR CON PLENA AUTONOMIA ADMINISTRATIVA LOS SERVICIOS PROFESIONALES CON EXPERIENCIA EN ARQUITECTURA, LEVANTAMIENTO DE INFORMACION Y PRUEBAS DE SOFTWARE - PARA EL GRUPO DEL INSTITUTO DE CASAS FISCALES DEL EJÉRCITO -</t>
  </si>
  <si>
    <t>PRESTAR CON PLENA AUTONOMIA ADMINISTRATIVA LOS SERVICIOS PROFESIONALES DE UN INGENIERO DE SISTEMAS O AFINES COMO LIDER TECNICO DE DESARROLLO DE SOFTWARE - PARA EL GRUPO DEL INSTITUTO DE CASAS FISCALES DEL EJÉRCITO</t>
  </si>
  <si>
    <t>PRESTAR CON PLENA AUTONOMÍA ADMINISTRATIVA LOS SERVICIOS PROFESIONALES DE UN INGENIERO DE SISTEMAS O AFINES COMO LIDER DEL GRUPO DE DESARROLLO, ADMINISTRADOR Y DISEÑADOR DE BASES DE DATOS PARA EL GRUPO DEL INSTITUTO DE CASAS FISCALES DEL EJÉRCITO</t>
  </si>
  <si>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t>
    </r>
  </si>
  <si>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</si>
  <si>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</si>
  <si>
    <t xml:space="preserve">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t>
  </si>
  <si>
    <t>ASIGNACION  2025</t>
  </si>
  <si>
    <t>DEPOSITO EN PRENDA</t>
  </si>
  <si>
    <t>TOTAL</t>
  </si>
  <si>
    <t xml:space="preserve">6 MESES </t>
  </si>
  <si>
    <t>08 MESES</t>
  </si>
  <si>
    <t xml:space="preserve">9 MESES </t>
  </si>
  <si>
    <t>81101500 
80101500
80121601
80121609
80121705</t>
  </si>
  <si>
    <t>43233200 - 43231500 - 81111800</t>
  </si>
  <si>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</si>
  <si>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t>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t>
  </si>
  <si>
    <t>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</si>
  <si>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r>
      <t>PRESTACIÓN DE SERVICIOS PROFESIONALES PARA EL ESTUDIO Y ELABORACIÓN DEL CALCULO ACTUARIAL A DICIEMBRE 31 DE 2025,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t>
    </r>
  </si>
  <si>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</sst>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00_-;\-* #,##0.00_-;_-* &quot;-&quot;_-;_-@_-"/>
    <numFmt numFmtId="170" formatCode="_(* #,##0_);_(* \(#,##0\);_(* &quot;-&quot;??_);_(@_)"/>
    <numFmt numFmtId="171" formatCode="_-&quot;$&quot;\ * #,##0.00_-;\-&quot;$&quot;\ * #,##0.00_-;_-&quot;$&quot;\ * &quot;-&quot;_-;_-@_-"/>
    <numFmt numFmtId="172" formatCode="_(&quot;$&quot;\ * #,##0.00_);_(&quot;$&quot;\ * \(#,##0.00\);_(&quot;$&quot;\ * &quot;-&quot;??_);_(@_)"/>
  </numFmts>
  <fonts count="43"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4"/>
      <color theme="1"/>
      <name val="Arial"/>
      <family val="2"/>
    </font>
    <font>
      <sz val="12"/>
      <color theme="0"/>
      <name val="Arial"/>
      <family val="2"/>
    </font>
    <font>
      <b/>
      <sz val="12"/>
      <color theme="0"/>
      <name val="Arial"/>
      <family val="2"/>
    </font>
    <font>
      <b/>
      <sz val="12"/>
      <name val="Arial"/>
      <family val="2"/>
    </font>
    <font>
      <u/>
      <sz val="12"/>
      <color theme="1"/>
      <name val="Arial"/>
      <family val="2"/>
    </font>
    <font>
      <b/>
      <sz val="9"/>
      <color indexed="81"/>
      <name val="Tahoma"/>
      <family val="2"/>
    </font>
    <font>
      <sz val="9"/>
      <color indexed="81"/>
      <name val="Tahoma"/>
      <family val="2"/>
    </font>
    <font>
      <b/>
      <sz val="10"/>
      <color indexed="81"/>
      <name val="Calibri"/>
      <family val="2"/>
      <scheme val="minor"/>
    </font>
    <font>
      <sz val="10"/>
      <color indexed="81"/>
      <name val="Calibri"/>
      <family val="2"/>
      <scheme val="minor"/>
    </font>
    <font>
      <sz val="12"/>
      <color indexed="81"/>
      <name val="Tahoma"/>
      <family val="2"/>
    </font>
    <font>
      <b/>
      <sz val="12"/>
      <color indexed="81"/>
      <name val="Tahoma"/>
      <family val="2"/>
    </font>
    <font>
      <sz val="10"/>
      <color indexed="81"/>
      <name val="Tahoma"/>
      <family val="2"/>
    </font>
    <font>
      <b/>
      <sz val="10"/>
      <color indexed="81"/>
      <name val="Tahoma"/>
      <family val="2"/>
    </font>
    <font>
      <sz val="12"/>
      <color rgb="FFFF0000"/>
      <name val="Arial"/>
      <family val="2"/>
    </font>
    <font>
      <sz val="11"/>
      <color theme="1"/>
      <name val="Arial"/>
      <family val="2"/>
    </font>
    <font>
      <sz val="11"/>
      <color rgb="FFFF0000"/>
      <name val="Arial"/>
      <family val="2"/>
    </font>
    <font>
      <b/>
      <sz val="11"/>
      <color theme="1"/>
      <name val="Calibri"/>
      <family val="2"/>
      <scheme val="minor"/>
    </font>
    <font>
      <sz val="11"/>
      <color theme="1"/>
      <name val="Bookman Old Style"/>
      <family val="1"/>
    </font>
    <font>
      <sz val="11"/>
      <name val="Bookman Old Style"/>
      <family val="1"/>
    </font>
    <font>
      <b/>
      <sz val="10"/>
      <color theme="1"/>
      <name val="Bookman Old Style"/>
      <family val="1"/>
    </font>
    <font>
      <b/>
      <sz val="10"/>
      <name val="Bookman Old Style"/>
      <family val="1"/>
    </font>
    <font>
      <b/>
      <sz val="11"/>
      <color theme="1"/>
      <name val="Bookman Old Style"/>
      <family val="1"/>
    </font>
    <font>
      <b/>
      <sz val="11"/>
      <color theme="0"/>
      <name val="Bookman Old Style"/>
      <family val="1"/>
    </font>
    <font>
      <sz val="8"/>
      <name val="Calibri"/>
      <family val="2"/>
      <scheme val="minor"/>
    </font>
  </fonts>
  <fills count="37">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E699"/>
        <bgColor indexed="64"/>
      </patternFill>
    </fill>
    <fill>
      <patternFill patternType="solid">
        <fgColor theme="0" tint="-0.14999847407452621"/>
        <bgColor indexed="64"/>
      </patternFill>
    </fill>
    <fill>
      <patternFill patternType="solid">
        <fgColor rgb="FF92D050"/>
        <bgColor indexed="64"/>
      </patternFill>
    </fill>
    <fill>
      <patternFill patternType="solid">
        <fgColor rgb="FF21C5FF"/>
        <bgColor indexed="64"/>
      </patternFill>
    </fill>
    <fill>
      <patternFill patternType="solid">
        <fgColor theme="9"/>
        <bgColor indexed="64"/>
      </patternFill>
    </fill>
    <fill>
      <patternFill patternType="solid">
        <fgColor theme="7"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cellStyleXfs>
  <cellXfs count="611">
    <xf numFmtId="0" fontId="0" fillId="0" borderId="0" xfId="0"/>
    <xf numFmtId="0" fontId="4" fillId="3" borderId="1" xfId="3" applyFill="1"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7" fillId="0" borderId="0" xfId="5" applyFont="1" applyAlignment="1"/>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6" fillId="0" borderId="0" xfId="0" applyFont="1" applyFill="1" applyProtection="1">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ont="1" applyFill="1" applyBorder="1" applyAlignment="1" applyProtection="1">
      <alignment horizontal="center" vertical="center" wrapText="1"/>
      <protection locked="0"/>
    </xf>
    <xf numFmtId="0" fontId="3" fillId="7" borderId="4" xfId="2" applyFont="1"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2" fillId="7" borderId="5" xfId="2" applyFont="1" applyFill="1" applyBorder="1" applyAlignment="1" applyProtection="1">
      <alignment horizontal="center" vertical="center" wrapText="1"/>
      <protection locked="0"/>
    </xf>
    <xf numFmtId="0" fontId="20" fillId="8" borderId="3" xfId="0" applyFont="1" applyFill="1" applyBorder="1" applyAlignment="1" applyProtection="1">
      <alignment horizontal="center" vertical="center"/>
      <protection locked="0"/>
    </xf>
    <xf numFmtId="0" fontId="20" fillId="8" borderId="4" xfId="0" applyFont="1" applyFill="1" applyBorder="1" applyAlignment="1" applyProtection="1">
      <alignment horizontal="center" vertical="center"/>
      <protection locked="0"/>
    </xf>
    <xf numFmtId="0" fontId="20" fillId="8" borderId="6" xfId="0" applyFont="1" applyFill="1" applyBorder="1" applyAlignment="1" applyProtection="1">
      <alignment horizontal="center" vertical="center"/>
      <protection locked="0"/>
    </xf>
    <xf numFmtId="0" fontId="21" fillId="8" borderId="1" xfId="0" applyFont="1" applyFill="1" applyBorder="1" applyAlignment="1" applyProtection="1">
      <alignment vertical="center" wrapText="1"/>
    </xf>
    <xf numFmtId="164" fontId="22" fillId="8" borderId="1" xfId="6" applyNumberFormat="1" applyFont="1" applyFill="1" applyBorder="1" applyAlignment="1" applyProtection="1">
      <alignment horizontal="center" vertical="center" wrapText="1"/>
      <protection locked="0"/>
    </xf>
    <xf numFmtId="167" fontId="22" fillId="8" borderId="1" xfId="6" applyNumberFormat="1" applyFont="1" applyFill="1" applyBorder="1" applyAlignment="1" applyProtection="1">
      <alignment horizontal="center" vertical="center" wrapText="1"/>
      <protection locked="0"/>
    </xf>
    <xf numFmtId="4" fontId="21" fillId="8" borderId="1" xfId="6" applyNumberFormat="1" applyFont="1" applyFill="1" applyBorder="1" applyAlignment="1" applyProtection="1">
      <alignment horizontal="right" vertical="center" wrapText="1"/>
    </xf>
    <xf numFmtId="167" fontId="21" fillId="8" borderId="1" xfId="6" applyNumberFormat="1" applyFont="1" applyFill="1" applyBorder="1" applyAlignment="1" applyProtection="1">
      <alignment horizontal="right" vertical="center" wrapText="1"/>
    </xf>
    <xf numFmtId="168" fontId="21" fillId="8" borderId="1" xfId="6" applyNumberFormat="1" applyFont="1" applyFill="1" applyBorder="1" applyAlignment="1" applyProtection="1">
      <alignment horizontal="right" vertical="center" wrapText="1"/>
    </xf>
    <xf numFmtId="167" fontId="21" fillId="8" borderId="1" xfId="0" applyNumberFormat="1" applyFont="1" applyFill="1" applyBorder="1" applyAlignment="1" applyProtection="1">
      <alignment vertical="center"/>
      <protection locked="0"/>
    </xf>
    <xf numFmtId="0" fontId="21" fillId="9" borderId="3" xfId="0" applyFont="1" applyFill="1" applyBorder="1" applyAlignment="1" applyProtection="1">
      <alignment horizontal="center" vertical="center"/>
      <protection locked="0"/>
    </xf>
    <xf numFmtId="0" fontId="21" fillId="9" borderId="4" xfId="0" applyFont="1" applyFill="1" applyBorder="1" applyAlignment="1" applyProtection="1">
      <alignment horizontal="center" vertical="center"/>
      <protection locked="0"/>
    </xf>
    <xf numFmtId="0" fontId="21" fillId="9" borderId="6" xfId="0" applyFont="1" applyFill="1" applyBorder="1" applyAlignment="1" applyProtection="1">
      <alignment horizontal="center" vertical="center"/>
      <protection locked="0"/>
    </xf>
    <xf numFmtId="0" fontId="21" fillId="9" borderId="1" xfId="0" applyFont="1" applyFill="1" applyBorder="1" applyAlignment="1" applyProtection="1">
      <alignment vertical="center" wrapText="1"/>
    </xf>
    <xf numFmtId="164" fontId="22" fillId="9" borderId="1" xfId="6" applyNumberFormat="1" applyFont="1" applyFill="1" applyBorder="1" applyAlignment="1" applyProtection="1">
      <alignment horizontal="center" vertical="center" wrapText="1"/>
      <protection locked="0"/>
    </xf>
    <xf numFmtId="167" fontId="22" fillId="9" borderId="1" xfId="6" applyNumberFormat="1" applyFont="1" applyFill="1" applyBorder="1" applyAlignment="1" applyProtection="1">
      <alignment horizontal="center" vertical="center" wrapText="1"/>
      <protection locked="0"/>
    </xf>
    <xf numFmtId="4" fontId="21" fillId="9" borderId="1" xfId="6" applyNumberFormat="1" applyFont="1" applyFill="1" applyBorder="1" applyAlignment="1" applyProtection="1">
      <alignment horizontal="right" vertical="center" wrapText="1"/>
    </xf>
    <xf numFmtId="167" fontId="21" fillId="9" borderId="1" xfId="6" applyNumberFormat="1" applyFont="1" applyFill="1" applyBorder="1" applyAlignment="1" applyProtection="1">
      <alignment horizontal="right" vertical="center" wrapText="1"/>
    </xf>
    <xf numFmtId="168" fontId="21" fillId="9" borderId="1" xfId="6" applyNumberFormat="1" applyFont="1" applyFill="1" applyBorder="1" applyAlignment="1" applyProtection="1">
      <alignment horizontal="right" vertical="center" wrapText="1"/>
    </xf>
    <xf numFmtId="167" fontId="21" fillId="9" borderId="1" xfId="0" applyNumberFormat="1" applyFont="1" applyFill="1" applyBorder="1" applyAlignment="1" applyProtection="1">
      <alignment vertical="center"/>
      <protection locked="0"/>
    </xf>
    <xf numFmtId="0" fontId="18" fillId="0" borderId="0" xfId="0" applyFont="1" applyFill="1" applyProtection="1">
      <protection locked="0"/>
    </xf>
    <xf numFmtId="0" fontId="16" fillId="10" borderId="1" xfId="0" applyFont="1" applyFill="1" applyBorder="1" applyAlignment="1" applyProtection="1">
      <alignment horizontal="center" vertical="center"/>
      <protection locked="0"/>
    </xf>
    <xf numFmtId="0" fontId="16" fillId="10" borderId="6" xfId="0" applyFont="1" applyFill="1" applyBorder="1" applyAlignment="1" applyProtection="1">
      <alignment horizontal="center" vertical="center"/>
      <protection locked="0"/>
    </xf>
    <xf numFmtId="0" fontId="16" fillId="10" borderId="1" xfId="0" applyFont="1" applyFill="1" applyBorder="1" applyAlignment="1" applyProtection="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6" xfId="0" applyFont="1" applyFill="1" applyBorder="1" applyAlignment="1" applyProtection="1">
      <alignment horizontal="center" vertical="center"/>
      <protection locked="0"/>
    </xf>
    <xf numFmtId="0" fontId="16" fillId="6" borderId="1" xfId="0" applyFont="1" applyFill="1" applyBorder="1" applyAlignment="1" applyProtection="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6" xfId="0" applyFont="1" applyFill="1" applyBorder="1" applyAlignment="1" applyProtection="1">
      <alignment horizontal="center" vertical="center"/>
      <protection locked="0"/>
    </xf>
    <xf numFmtId="0" fontId="16" fillId="11" borderId="1" xfId="0" applyFont="1" applyFill="1" applyBorder="1" applyAlignment="1" applyProtection="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pplyProtection="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7" xfId="0" applyFont="1" applyFill="1" applyBorder="1" applyAlignment="1" applyProtection="1">
      <alignment vertical="center"/>
      <protection locked="0"/>
    </xf>
    <xf numFmtId="0" fontId="16" fillId="13" borderId="0" xfId="0" applyFont="1" applyFill="1" applyBorder="1" applyAlignment="1" applyProtection="1">
      <alignment vertical="center"/>
      <protection locked="0"/>
    </xf>
    <xf numFmtId="0" fontId="16" fillId="13" borderId="8" xfId="0" applyFont="1" applyFill="1" applyBorder="1" applyAlignment="1" applyProtection="1">
      <alignment vertical="center"/>
      <protection locked="0"/>
    </xf>
    <xf numFmtId="0" fontId="16" fillId="10" borderId="6"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pplyProtection="1">
      <alignment horizontal="center" vertical="center"/>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166" fontId="16" fillId="13" borderId="1" xfId="6" applyFont="1" applyFill="1" applyBorder="1" applyAlignment="1" applyProtection="1">
      <alignment horizontal="center" vertical="center"/>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9" xfId="0" applyFont="1" applyFill="1" applyBorder="1" applyAlignment="1" applyProtection="1">
      <alignment horizontal="center" vertical="center"/>
      <protection locked="0"/>
    </xf>
    <xf numFmtId="0" fontId="16" fillId="0" borderId="8" xfId="0" applyFont="1" applyFill="1" applyBorder="1" applyAlignment="1" applyProtection="1">
      <alignment horizontal="center" vertical="center"/>
      <protection locked="0"/>
    </xf>
    <xf numFmtId="0" fontId="16" fillId="0" borderId="6" xfId="0" applyFont="1" applyFill="1" applyBorder="1" applyAlignment="1" applyProtection="1">
      <alignment horizontal="center" vertical="center"/>
      <protection locked="0"/>
    </xf>
    <xf numFmtId="0" fontId="16" fillId="0" borderId="1" xfId="0" applyFont="1" applyFill="1" applyBorder="1" applyAlignment="1" applyProtection="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0" borderId="1" xfId="0" applyFont="1" applyFill="1" applyBorder="1" applyAlignment="1" applyProtection="1">
      <alignment vertical="center"/>
      <protection locked="0"/>
    </xf>
    <xf numFmtId="0" fontId="16" fillId="13" borderId="10" xfId="0" applyFont="1" applyFill="1" applyBorder="1" applyAlignment="1" applyProtection="1">
      <alignment vertical="center"/>
      <protection locked="0"/>
    </xf>
    <xf numFmtId="0" fontId="16" fillId="13" borderId="1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2"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Fill="1" applyBorder="1" applyAlignment="1" applyProtection="1">
      <alignment horizontal="center" vertical="center"/>
      <protection locked="0"/>
    </xf>
    <xf numFmtId="0" fontId="16" fillId="0" borderId="0" xfId="0" applyFont="1" applyFill="1" applyAlignment="1" applyProtection="1">
      <alignment vertical="center"/>
      <protection locked="0"/>
    </xf>
    <xf numFmtId="0" fontId="16" fillId="14" borderId="0" xfId="0" applyFont="1" applyFill="1" applyProtection="1">
      <protection locked="0"/>
    </xf>
    <xf numFmtId="166" fontId="16" fillId="13" borderId="1" xfId="6" applyFont="1" applyFill="1" applyBorder="1" applyAlignment="1" applyProtection="1">
      <alignment horizontal="left" vertical="center"/>
      <protection locked="0"/>
    </xf>
    <xf numFmtId="4" fontId="16" fillId="13" borderId="1" xfId="0" applyNumberFormat="1" applyFont="1" applyFill="1" applyBorder="1" applyAlignment="1" applyProtection="1">
      <alignment horizontal="center" vertical="center"/>
      <protection locked="0"/>
    </xf>
    <xf numFmtId="0" fontId="16" fillId="10" borderId="6" xfId="0" applyFont="1" applyFill="1" applyBorder="1" applyAlignment="1">
      <alignment horizontal="center" vertical="center" wrapText="1"/>
    </xf>
    <xf numFmtId="0" fontId="16" fillId="13" borderId="6"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2" xfId="0" applyFont="1" applyFill="1" applyBorder="1" applyAlignment="1">
      <alignment horizontal="center" vertical="center" wrapText="1"/>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1" fontId="16" fillId="13" borderId="1" xfId="1" applyFont="1" applyFill="1" applyBorder="1" applyAlignment="1" applyProtection="1">
      <alignment horizontal="center" vertical="center"/>
      <protection locked="0"/>
    </xf>
    <xf numFmtId="0" fontId="16" fillId="13" borderId="1" xfId="0" applyFont="1" applyFill="1" applyBorder="1" applyAlignment="1" applyProtection="1">
      <alignment horizontal="center" wrapText="1"/>
      <protection locked="0"/>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41" fontId="16" fillId="13" borderId="1" xfId="0" applyNumberFormat="1" applyFont="1" applyFill="1" applyBorder="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0" fontId="16" fillId="13" borderId="0" xfId="0" applyFont="1" applyFill="1" applyBorder="1" applyAlignment="1" applyProtection="1">
      <alignment horizontal="center" vertical="center"/>
      <protection locked="0"/>
    </xf>
    <xf numFmtId="0" fontId="16" fillId="13" borderId="8"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0" fontId="16" fillId="13" borderId="6" xfId="0" applyFont="1" applyFill="1" applyBorder="1" applyAlignment="1" applyProtection="1">
      <alignment horizontal="center" vertical="center" wrapText="1"/>
      <protection locked="0"/>
    </xf>
    <xf numFmtId="49" fontId="16" fillId="11" borderId="1" xfId="0" applyNumberFormat="1" applyFont="1" applyFill="1" applyBorder="1" applyAlignment="1" applyProtection="1">
      <alignment horizontal="center" vertical="center"/>
      <protection locked="0"/>
    </xf>
    <xf numFmtId="168" fontId="17" fillId="13" borderId="1" xfId="6" applyNumberFormat="1" applyFont="1" applyFill="1" applyBorder="1" applyAlignment="1" applyProtection="1">
      <alignment horizontal="right" vertical="center" wrapText="1"/>
      <protection locked="0"/>
    </xf>
    <xf numFmtId="0" fontId="20" fillId="15" borderId="1" xfId="0" applyFont="1" applyFill="1" applyBorder="1" applyAlignment="1" applyProtection="1">
      <alignment horizontal="center" vertical="center"/>
      <protection locked="0"/>
    </xf>
    <xf numFmtId="0" fontId="20" fillId="15" borderId="6" xfId="0" applyFont="1" applyFill="1" applyBorder="1" applyAlignment="1" applyProtection="1">
      <alignment horizontal="center" vertical="center"/>
      <protection locked="0"/>
    </xf>
    <xf numFmtId="0" fontId="21" fillId="15" borderId="1" xfId="0" applyFont="1" applyFill="1" applyBorder="1" applyAlignment="1" applyProtection="1">
      <alignment vertical="center" wrapText="1"/>
    </xf>
    <xf numFmtId="164" fontId="22" fillId="15" borderId="1" xfId="6" applyNumberFormat="1" applyFont="1" applyFill="1" applyBorder="1" applyAlignment="1" applyProtection="1">
      <alignment horizontal="center" vertical="center" wrapText="1"/>
      <protection locked="0"/>
    </xf>
    <xf numFmtId="167" fontId="22" fillId="15" borderId="1" xfId="6" applyNumberFormat="1" applyFont="1" applyFill="1" applyBorder="1" applyAlignment="1" applyProtection="1">
      <alignment horizontal="center" vertical="center" wrapText="1"/>
      <protection locked="0"/>
    </xf>
    <xf numFmtId="4" fontId="21" fillId="15" borderId="1" xfId="6" applyNumberFormat="1" applyFont="1" applyFill="1" applyBorder="1" applyAlignment="1" applyProtection="1">
      <alignment horizontal="right" vertical="center" wrapText="1"/>
    </xf>
    <xf numFmtId="168" fontId="21" fillId="15" borderId="1" xfId="6" applyNumberFormat="1" applyFont="1" applyFill="1" applyBorder="1" applyAlignment="1" applyProtection="1">
      <alignment horizontal="right" vertical="center" wrapText="1"/>
    </xf>
    <xf numFmtId="167" fontId="20" fillId="15" borderId="1" xfId="0" applyNumberFormat="1" applyFont="1" applyFill="1" applyBorder="1" applyAlignment="1" applyProtection="1">
      <alignment vertical="center"/>
      <protection locked="0"/>
    </xf>
    <xf numFmtId="0" fontId="21" fillId="16" borderId="3" xfId="0" applyFont="1" applyFill="1" applyBorder="1" applyAlignment="1" applyProtection="1">
      <alignment horizontal="center" vertical="center"/>
      <protection locked="0"/>
    </xf>
    <xf numFmtId="0" fontId="21" fillId="16" borderId="4" xfId="0" applyFont="1" applyFill="1" applyBorder="1" applyAlignment="1" applyProtection="1">
      <alignment horizontal="center" vertical="center"/>
      <protection locked="0"/>
    </xf>
    <xf numFmtId="0" fontId="21" fillId="16" borderId="6" xfId="0" applyFont="1" applyFill="1" applyBorder="1" applyAlignment="1" applyProtection="1">
      <alignment horizontal="center" vertical="center"/>
      <protection locked="0"/>
    </xf>
    <xf numFmtId="0" fontId="21" fillId="16" borderId="1" xfId="0" applyFont="1" applyFill="1" applyBorder="1" applyAlignment="1" applyProtection="1">
      <alignment vertical="center" wrapText="1"/>
    </xf>
    <xf numFmtId="164" fontId="22" fillId="16" borderId="1" xfId="6" applyNumberFormat="1" applyFont="1" applyFill="1" applyBorder="1" applyAlignment="1" applyProtection="1">
      <alignment horizontal="center" vertical="center" wrapText="1"/>
      <protection locked="0"/>
    </xf>
    <xf numFmtId="167" fontId="22" fillId="16" borderId="1" xfId="6" applyNumberFormat="1" applyFont="1" applyFill="1" applyBorder="1" applyAlignment="1" applyProtection="1">
      <alignment horizontal="center" vertical="center" wrapText="1"/>
      <protection locked="0"/>
    </xf>
    <xf numFmtId="4" fontId="21" fillId="16" borderId="1" xfId="6" applyNumberFormat="1" applyFont="1" applyFill="1" applyBorder="1" applyAlignment="1" applyProtection="1">
      <alignment horizontal="right" vertical="center" wrapText="1"/>
    </xf>
    <xf numFmtId="167" fontId="21" fillId="16" borderId="1" xfId="6" applyNumberFormat="1" applyFont="1" applyFill="1" applyBorder="1" applyAlignment="1" applyProtection="1">
      <alignment horizontal="right" vertical="center" wrapText="1"/>
    </xf>
    <xf numFmtId="0" fontId="21"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6" xfId="0" applyFont="1" applyFill="1" applyBorder="1" applyAlignment="1" applyProtection="1">
      <alignment horizontal="center" vertical="center"/>
      <protection locked="0"/>
    </xf>
    <xf numFmtId="0" fontId="18" fillId="17" borderId="1" xfId="0" applyFont="1" applyFill="1" applyBorder="1" applyAlignment="1" applyProtection="1">
      <alignment vertical="center" wrapText="1"/>
    </xf>
    <xf numFmtId="164" fontId="22" fillId="17" borderId="1" xfId="6" applyNumberFormat="1" applyFont="1" applyFill="1" applyBorder="1" applyAlignment="1" applyProtection="1">
      <alignment horizontal="center" vertical="center" wrapText="1"/>
      <protection locked="0"/>
    </xf>
    <xf numFmtId="167" fontId="22" fillId="17" borderId="1" xfId="6" applyNumberFormat="1" applyFont="1" applyFill="1" applyBorder="1" applyAlignment="1" applyProtection="1">
      <alignment horizontal="center" vertical="center" wrapText="1"/>
      <protection locked="0"/>
    </xf>
    <xf numFmtId="4" fontId="22" fillId="17" borderId="1" xfId="6" applyNumberFormat="1" applyFont="1" applyFill="1" applyBorder="1" applyAlignment="1" applyProtection="1">
      <alignment horizontal="right" vertical="center" wrapText="1"/>
    </xf>
    <xf numFmtId="167" fontId="22"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6" xfId="0" applyFont="1" applyFill="1" applyBorder="1" applyAlignment="1" applyProtection="1">
      <alignment horizontal="center" vertical="center"/>
      <protection locked="0"/>
    </xf>
    <xf numFmtId="0" fontId="16" fillId="18" borderId="1" xfId="0" applyFont="1" applyFill="1" applyBorder="1" applyAlignment="1" applyProtection="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8" borderId="1" xfId="0" quotePrefix="1" applyFont="1" applyFill="1" applyBorder="1" applyAlignment="1" applyProtection="1">
      <alignment horizontal="center" vertical="center"/>
      <protection locked="0"/>
    </xf>
    <xf numFmtId="0" fontId="16" fillId="12" borderId="1" xfId="0" quotePrefix="1"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pplyProtection="1">
      <alignment horizontal="left" vertical="center" wrapText="1"/>
    </xf>
    <xf numFmtId="167" fontId="16" fillId="13" borderId="1" xfId="0" applyNumberFormat="1" applyFont="1" applyFill="1" applyBorder="1" applyAlignment="1" applyProtection="1">
      <alignment vertical="center"/>
      <protection locked="0"/>
    </xf>
    <xf numFmtId="167"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6"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7" xfId="0" applyNumberFormat="1" applyFont="1" applyFill="1" applyBorder="1" applyAlignment="1" applyProtection="1">
      <alignment horizontal="center" vertical="center"/>
      <protection locked="0"/>
    </xf>
    <xf numFmtId="49" fontId="16" fillId="13" borderId="0" xfId="0" applyNumberFormat="1" applyFont="1" applyFill="1" applyBorder="1" applyAlignment="1" applyProtection="1">
      <alignment horizontal="center" vertical="center"/>
      <protection locked="0"/>
    </xf>
    <xf numFmtId="49" fontId="16" fillId="13" borderId="8" xfId="0" applyNumberFormat="1" applyFont="1" applyFill="1" applyBorder="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0" xfId="0" applyFont="1" applyFill="1" applyBorder="1" applyAlignment="1" applyProtection="1">
      <alignment horizontal="center" vertical="center"/>
      <protection locked="0"/>
    </xf>
    <xf numFmtId="0" fontId="17" fillId="13" borderId="8" xfId="0" applyFont="1" applyFill="1" applyBorder="1" applyAlignment="1" applyProtection="1">
      <alignment horizontal="center" vertical="center"/>
      <protection locked="0"/>
    </xf>
    <xf numFmtId="0" fontId="17" fillId="13" borderId="1"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7" fillId="0" borderId="0" xfId="0" applyFont="1" applyFill="1" applyProtection="1">
      <protection locked="0"/>
    </xf>
    <xf numFmtId="0" fontId="16" fillId="10" borderId="6"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1" fillId="19" borderId="3" xfId="0" applyFont="1" applyFill="1" applyBorder="1" applyAlignment="1" applyProtection="1">
      <alignment horizontal="center" vertical="center"/>
      <protection locked="0"/>
    </xf>
    <xf numFmtId="0" fontId="21" fillId="19" borderId="4" xfId="0" applyFont="1" applyFill="1" applyBorder="1" applyAlignment="1" applyProtection="1">
      <alignment horizontal="center" vertical="center"/>
      <protection locked="0"/>
    </xf>
    <xf numFmtId="0" fontId="21" fillId="19" borderId="6" xfId="0" applyFont="1" applyFill="1" applyBorder="1" applyAlignment="1" applyProtection="1">
      <alignment horizontal="center" vertical="center"/>
      <protection locked="0"/>
    </xf>
    <xf numFmtId="0" fontId="21" fillId="19" borderId="1" xfId="0" applyFont="1" applyFill="1" applyBorder="1" applyAlignment="1" applyProtection="1">
      <alignment vertical="center" wrapText="1"/>
    </xf>
    <xf numFmtId="164" fontId="22" fillId="19" borderId="1" xfId="6" applyNumberFormat="1" applyFont="1" applyFill="1" applyBorder="1" applyAlignment="1" applyProtection="1">
      <alignment horizontal="center" vertical="center" wrapText="1"/>
      <protection locked="0"/>
    </xf>
    <xf numFmtId="167" fontId="22" fillId="19" borderId="1" xfId="6" applyNumberFormat="1" applyFont="1" applyFill="1" applyBorder="1" applyAlignment="1" applyProtection="1">
      <alignment horizontal="center" vertical="center" wrapText="1"/>
      <protection locked="0"/>
    </xf>
    <xf numFmtId="4" fontId="21" fillId="19" borderId="1" xfId="6" applyNumberFormat="1" applyFont="1" applyFill="1" applyBorder="1" applyAlignment="1" applyProtection="1">
      <alignment horizontal="right" vertical="center" wrapText="1"/>
    </xf>
    <xf numFmtId="167" fontId="21" fillId="19" borderId="1" xfId="6" applyNumberFormat="1" applyFont="1" applyFill="1" applyBorder="1" applyAlignment="1" applyProtection="1">
      <alignment horizontal="right" vertical="center" wrapText="1"/>
    </xf>
    <xf numFmtId="0" fontId="21" fillId="19" borderId="1" xfId="0" applyFont="1" applyFill="1" applyBorder="1" applyAlignment="1" applyProtection="1">
      <alignment vertical="center"/>
      <protection locked="0"/>
    </xf>
    <xf numFmtId="0" fontId="21" fillId="20" borderId="1" xfId="0" applyFont="1" applyFill="1" applyBorder="1" applyAlignment="1" applyProtection="1">
      <alignment horizontal="center" vertical="center"/>
      <protection locked="0"/>
    </xf>
    <xf numFmtId="0" fontId="21" fillId="20" borderId="6" xfId="0" applyFont="1" applyFill="1" applyBorder="1" applyAlignment="1" applyProtection="1">
      <alignment horizontal="center" vertical="center"/>
      <protection locked="0"/>
    </xf>
    <xf numFmtId="0" fontId="21" fillId="20" borderId="1" xfId="0" applyFont="1" applyFill="1" applyBorder="1" applyAlignment="1" applyProtection="1">
      <alignment vertical="center" wrapText="1"/>
    </xf>
    <xf numFmtId="164" fontId="22" fillId="20" borderId="1" xfId="6" applyNumberFormat="1" applyFont="1" applyFill="1" applyBorder="1" applyAlignment="1" applyProtection="1">
      <alignment horizontal="center" vertical="center" wrapText="1"/>
      <protection locked="0"/>
    </xf>
    <xf numFmtId="167" fontId="22" fillId="20" borderId="1" xfId="6" applyNumberFormat="1" applyFont="1" applyFill="1" applyBorder="1" applyAlignment="1" applyProtection="1">
      <alignment horizontal="center" vertical="center" wrapText="1"/>
      <protection locked="0"/>
    </xf>
    <xf numFmtId="4" fontId="21" fillId="20" borderId="1" xfId="6" applyNumberFormat="1" applyFont="1" applyFill="1" applyBorder="1" applyAlignment="1" applyProtection="1">
      <alignment horizontal="right" vertical="center" wrapText="1"/>
    </xf>
    <xf numFmtId="167" fontId="21" fillId="20" borderId="1" xfId="6" applyNumberFormat="1" applyFont="1" applyFill="1" applyBorder="1" applyAlignment="1" applyProtection="1">
      <alignment horizontal="right" vertical="center" wrapText="1"/>
    </xf>
    <xf numFmtId="0" fontId="21" fillId="20" borderId="1" xfId="0" applyFont="1" applyFill="1" applyBorder="1" applyAlignment="1" applyProtection="1">
      <alignment vertical="center"/>
      <protection locked="0"/>
    </xf>
    <xf numFmtId="0" fontId="21" fillId="13" borderId="7" xfId="0" applyFont="1" applyFill="1" applyBorder="1" applyAlignment="1" applyProtection="1">
      <alignment vertical="center"/>
      <protection locked="0"/>
    </xf>
    <xf numFmtId="0" fontId="21" fillId="13" borderId="0" xfId="0" applyFont="1" applyFill="1" applyBorder="1" applyAlignment="1" applyProtection="1">
      <alignment vertical="center"/>
      <protection locked="0"/>
    </xf>
    <xf numFmtId="0" fontId="21" fillId="13" borderId="8" xfId="0" applyFont="1" applyFill="1" applyBorder="1" applyAlignment="1" applyProtection="1">
      <alignment vertical="center"/>
      <protection locked="0"/>
    </xf>
    <xf numFmtId="0" fontId="17" fillId="13" borderId="6" xfId="0" applyFont="1" applyFill="1" applyBorder="1" applyAlignment="1" applyProtection="1">
      <alignment horizontal="center" vertical="center"/>
      <protection locked="0"/>
    </xf>
    <xf numFmtId="0" fontId="21" fillId="21" borderId="3" xfId="0" applyFont="1" applyFill="1" applyBorder="1" applyAlignment="1" applyProtection="1">
      <alignment horizontal="center" vertical="center"/>
      <protection locked="0"/>
    </xf>
    <xf numFmtId="0" fontId="21" fillId="21" borderId="4" xfId="0" applyFont="1" applyFill="1" applyBorder="1" applyAlignment="1" applyProtection="1">
      <alignment horizontal="center" vertical="center"/>
      <protection locked="0"/>
    </xf>
    <xf numFmtId="0" fontId="21" fillId="21" borderId="6" xfId="0" applyFont="1" applyFill="1" applyBorder="1" applyAlignment="1" applyProtection="1">
      <alignment horizontal="center" vertical="center"/>
      <protection locked="0"/>
    </xf>
    <xf numFmtId="0" fontId="21" fillId="21" borderId="1" xfId="0" applyFont="1" applyFill="1" applyBorder="1" applyAlignment="1" applyProtection="1">
      <alignment vertical="center" wrapText="1"/>
    </xf>
    <xf numFmtId="164" fontId="22" fillId="21" borderId="1" xfId="6" applyNumberFormat="1" applyFont="1" applyFill="1" applyBorder="1" applyAlignment="1" applyProtection="1">
      <alignment horizontal="center" vertical="center" wrapText="1"/>
      <protection locked="0"/>
    </xf>
    <xf numFmtId="167" fontId="22" fillId="21" borderId="1" xfId="6" applyNumberFormat="1" applyFont="1" applyFill="1" applyBorder="1" applyAlignment="1" applyProtection="1">
      <alignment horizontal="center" vertical="center" wrapText="1"/>
      <protection locked="0"/>
    </xf>
    <xf numFmtId="4" fontId="21" fillId="21" borderId="1" xfId="6" applyNumberFormat="1" applyFont="1" applyFill="1" applyBorder="1" applyAlignment="1" applyProtection="1">
      <alignment horizontal="right" vertical="center" wrapText="1"/>
    </xf>
    <xf numFmtId="167" fontId="21" fillId="21" borderId="1" xfId="6" applyNumberFormat="1" applyFont="1" applyFill="1" applyBorder="1" applyAlignment="1" applyProtection="1">
      <alignment horizontal="right" vertical="center" wrapText="1"/>
    </xf>
    <xf numFmtId="0" fontId="21" fillId="21" borderId="1" xfId="0" applyFont="1" applyFill="1" applyBorder="1" applyAlignment="1" applyProtection="1">
      <alignment vertical="center"/>
      <protection locked="0"/>
    </xf>
    <xf numFmtId="0" fontId="21" fillId="22" borderId="1" xfId="0" applyFont="1" applyFill="1" applyBorder="1" applyAlignment="1" applyProtection="1">
      <alignment horizontal="center" vertical="center"/>
      <protection locked="0"/>
    </xf>
    <xf numFmtId="0" fontId="21" fillId="22" borderId="6" xfId="0" applyFont="1" applyFill="1" applyBorder="1" applyAlignment="1" applyProtection="1">
      <alignment horizontal="center" vertical="center"/>
      <protection locked="0"/>
    </xf>
    <xf numFmtId="0" fontId="21" fillId="22" borderId="1" xfId="0" applyFont="1" applyFill="1" applyBorder="1" applyAlignment="1" applyProtection="1">
      <alignment vertical="center" wrapText="1"/>
    </xf>
    <xf numFmtId="164" fontId="22" fillId="22" borderId="1" xfId="6" applyNumberFormat="1" applyFont="1" applyFill="1" applyBorder="1" applyAlignment="1" applyProtection="1">
      <alignment horizontal="center" vertical="center" wrapText="1"/>
      <protection locked="0"/>
    </xf>
    <xf numFmtId="167" fontId="22" fillId="22" borderId="1" xfId="6" applyNumberFormat="1" applyFont="1" applyFill="1" applyBorder="1" applyAlignment="1" applyProtection="1">
      <alignment horizontal="center" vertical="center" wrapText="1"/>
      <protection locked="0"/>
    </xf>
    <xf numFmtId="4" fontId="21" fillId="22" borderId="1" xfId="6" applyNumberFormat="1" applyFont="1" applyFill="1" applyBorder="1" applyAlignment="1" applyProtection="1">
      <alignment horizontal="right" vertical="center" wrapText="1"/>
    </xf>
    <xf numFmtId="167" fontId="21" fillId="22" borderId="1" xfId="6" applyNumberFormat="1" applyFont="1" applyFill="1" applyBorder="1" applyAlignment="1" applyProtection="1">
      <alignment horizontal="right" vertical="center" wrapText="1"/>
    </xf>
    <xf numFmtId="0" fontId="21"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6" xfId="0" applyFont="1" applyFill="1" applyBorder="1" applyAlignment="1" applyProtection="1">
      <alignment horizontal="center" vertical="center"/>
      <protection locked="0"/>
    </xf>
    <xf numFmtId="0" fontId="16" fillId="23" borderId="1" xfId="0" applyFont="1" applyFill="1" applyBorder="1" applyAlignment="1" applyProtection="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1"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1" fillId="7" borderId="1" xfId="0" applyFont="1" applyFill="1" applyBorder="1" applyAlignment="1" applyProtection="1">
      <alignment horizontal="center" vertical="center"/>
      <protection locked="0"/>
    </xf>
    <xf numFmtId="0" fontId="21" fillId="7" borderId="6" xfId="0" applyFont="1" applyFill="1" applyBorder="1" applyAlignment="1" applyProtection="1">
      <alignment horizontal="center" vertical="center"/>
      <protection locked="0"/>
    </xf>
    <xf numFmtId="0" fontId="21" fillId="7" borderId="1" xfId="0" applyFont="1" applyFill="1" applyBorder="1" applyAlignment="1" applyProtection="1">
      <alignment vertical="center" wrapText="1"/>
    </xf>
    <xf numFmtId="164" fontId="22" fillId="7" borderId="1" xfId="6" applyNumberFormat="1" applyFont="1" applyFill="1" applyBorder="1" applyAlignment="1" applyProtection="1">
      <alignment horizontal="center" vertical="center" wrapText="1"/>
      <protection locked="0"/>
    </xf>
    <xf numFmtId="167" fontId="22" fillId="7" borderId="1" xfId="6" applyNumberFormat="1" applyFont="1" applyFill="1" applyBorder="1" applyAlignment="1" applyProtection="1">
      <alignment horizontal="center" vertical="center" wrapText="1"/>
      <protection locked="0"/>
    </xf>
    <xf numFmtId="4" fontId="21" fillId="7" borderId="1" xfId="6" applyNumberFormat="1" applyFont="1" applyFill="1" applyBorder="1" applyAlignment="1" applyProtection="1">
      <alignment horizontal="right" vertical="center" wrapText="1"/>
    </xf>
    <xf numFmtId="167" fontId="21" fillId="7" borderId="1" xfId="6" applyNumberFormat="1" applyFont="1" applyFill="1" applyBorder="1" applyAlignment="1" applyProtection="1">
      <alignment horizontal="right" vertical="center" wrapText="1"/>
    </xf>
    <xf numFmtId="0" fontId="21"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6" xfId="0" applyFont="1" applyFill="1" applyBorder="1" applyAlignment="1" applyProtection="1">
      <alignment horizontal="center" vertical="center"/>
      <protection locked="0"/>
    </xf>
    <xf numFmtId="0" fontId="16" fillId="24" borderId="1" xfId="0" applyFont="1" applyFill="1" applyBorder="1" applyAlignment="1" applyProtection="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2" fillId="24" borderId="1" xfId="6" applyNumberFormat="1" applyFont="1" applyFill="1" applyBorder="1" applyAlignment="1" applyProtection="1">
      <alignment horizontal="right" vertical="center" wrapText="1"/>
    </xf>
    <xf numFmtId="167" fontId="22"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6" xfId="0" applyFont="1" applyFill="1" applyBorder="1" applyAlignment="1" applyProtection="1">
      <alignment horizontal="center" vertical="center"/>
      <protection locked="0"/>
    </xf>
    <xf numFmtId="0" fontId="16" fillId="25" borderId="1" xfId="0" applyFont="1" applyFill="1" applyBorder="1" applyAlignment="1" applyProtection="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2" fillId="25" borderId="1" xfId="6" applyNumberFormat="1" applyFont="1" applyFill="1" applyBorder="1" applyAlignment="1" applyProtection="1">
      <alignment horizontal="right" vertical="center" wrapText="1"/>
    </xf>
    <xf numFmtId="167" fontId="22"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4" fontId="22" fillId="6" borderId="1" xfId="6" applyNumberFormat="1" applyFont="1" applyFill="1" applyBorder="1" applyAlignment="1" applyProtection="1">
      <alignment horizontal="right" vertical="center" wrapText="1"/>
    </xf>
    <xf numFmtId="167" fontId="22"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20"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7" fillId="13" borderId="1" xfId="6" applyNumberFormat="1" applyFont="1" applyFill="1" applyBorder="1" applyAlignment="1" applyProtection="1">
      <alignment horizontal="center" vertical="center" wrapText="1"/>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6" fillId="26" borderId="0" xfId="0" applyFont="1" applyFill="1" applyProtection="1">
      <protection locked="0"/>
    </xf>
    <xf numFmtId="0" fontId="23" fillId="13" borderId="1" xfId="0" applyFont="1" applyFill="1" applyBorder="1" applyAlignment="1" applyProtection="1">
      <alignment horizontal="center" vertical="center"/>
      <protection locked="0"/>
    </xf>
    <xf numFmtId="0" fontId="17" fillId="0" borderId="0" xfId="0" applyFont="1" applyAlignment="1" applyProtection="1">
      <alignment wrapText="1"/>
      <protection locked="0"/>
    </xf>
    <xf numFmtId="0" fontId="19" fillId="0" borderId="0" xfId="0" applyFont="1" applyFill="1" applyAlignment="1" applyProtection="1">
      <alignment vertical="center"/>
      <protection locked="0"/>
    </xf>
    <xf numFmtId="0" fontId="16" fillId="0" borderId="1" xfId="0" applyFont="1" applyBorder="1" applyAlignment="1">
      <alignment vertical="center" wrapText="1"/>
    </xf>
    <xf numFmtId="0" fontId="16" fillId="12" borderId="1" xfId="0" applyFont="1" applyFill="1" applyBorder="1" applyAlignment="1">
      <alignment vertical="center" wrapText="1"/>
    </xf>
    <xf numFmtId="0" fontId="16" fillId="11" borderId="1" xfId="0" applyFont="1" applyFill="1" applyBorder="1" applyAlignment="1">
      <alignment vertical="center" wrapText="1"/>
    </xf>
    <xf numFmtId="0" fontId="16" fillId="6" borderId="1" xfId="0" applyFont="1" applyFill="1" applyBorder="1" applyAlignment="1">
      <alignment vertical="center" wrapText="1"/>
    </xf>
    <xf numFmtId="0" fontId="16" fillId="18" borderId="1" xfId="0" applyFont="1" applyFill="1" applyBorder="1" applyAlignment="1">
      <alignment vertical="center" wrapText="1"/>
    </xf>
    <xf numFmtId="49" fontId="16" fillId="6" borderId="1" xfId="0" applyNumberFormat="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0" fontId="16" fillId="0" borderId="0" xfId="0" applyFont="1" applyFill="1" applyBorder="1" applyProtection="1">
      <protection locked="0"/>
    </xf>
    <xf numFmtId="4" fontId="21" fillId="0" borderId="0" xfId="6" applyNumberFormat="1" applyFont="1" applyFill="1" applyBorder="1" applyAlignment="1" applyProtection="1">
      <alignment horizontal="right" vertical="center" wrapText="1"/>
    </xf>
    <xf numFmtId="0" fontId="18" fillId="0" borderId="0" xfId="0" applyFont="1" applyFill="1" applyBorder="1" applyProtection="1">
      <protection locked="0"/>
    </xf>
    <xf numFmtId="4" fontId="17" fillId="27" borderId="1" xfId="6" applyNumberFormat="1" applyFont="1" applyFill="1" applyBorder="1" applyAlignment="1" applyProtection="1">
      <alignment horizontal="right" vertical="center" wrapText="1"/>
      <protection locked="0"/>
    </xf>
    <xf numFmtId="4" fontId="17" fillId="14" borderId="1" xfId="6" applyNumberFormat="1" applyFont="1" applyFill="1" applyBorder="1" applyAlignment="1" applyProtection="1">
      <alignment horizontal="right" vertical="center" wrapText="1"/>
      <protection locked="0"/>
    </xf>
    <xf numFmtId="0" fontId="16" fillId="0" borderId="0" xfId="0" applyFont="1" applyFill="1" applyBorder="1" applyAlignment="1" applyProtection="1">
      <alignment vertical="center"/>
      <protection locked="0"/>
    </xf>
    <xf numFmtId="0" fontId="16" fillId="14" borderId="0" xfId="0" applyFont="1" applyFill="1" applyBorder="1" applyProtection="1">
      <protection locked="0"/>
    </xf>
    <xf numFmtId="4" fontId="17" fillId="28" borderId="1" xfId="6" applyNumberFormat="1" applyFont="1" applyFill="1" applyBorder="1" applyAlignment="1" applyProtection="1">
      <alignment horizontal="right" vertical="center" wrapText="1"/>
      <protection locked="0"/>
    </xf>
    <xf numFmtId="0" fontId="16" fillId="13" borderId="12" xfId="0" applyFont="1" applyFill="1" applyBorder="1" applyAlignment="1">
      <alignment horizontal="center" vertical="center"/>
    </xf>
    <xf numFmtId="0" fontId="16" fillId="13" borderId="9" xfId="0" applyFont="1" applyFill="1" applyBorder="1" applyAlignment="1" applyProtection="1">
      <alignment vertical="center"/>
      <protection locked="0"/>
    </xf>
    <xf numFmtId="167" fontId="17" fillId="27" borderId="1" xfId="6" applyNumberFormat="1" applyFont="1" applyFill="1" applyBorder="1" applyAlignment="1" applyProtection="1">
      <alignment horizontal="right" vertical="center" wrapText="1"/>
      <protection locked="0"/>
    </xf>
    <xf numFmtId="167" fontId="16" fillId="27" borderId="1" xfId="0" applyNumberFormat="1" applyFont="1" applyFill="1" applyBorder="1" applyAlignment="1" applyProtection="1">
      <alignment vertical="center"/>
      <protection locked="0"/>
    </xf>
    <xf numFmtId="168" fontId="17" fillId="27" borderId="1" xfId="6" applyNumberFormat="1" applyFont="1" applyFill="1" applyBorder="1" applyAlignment="1" applyProtection="1">
      <alignment horizontal="right" vertical="center" wrapText="1"/>
      <protection locked="0"/>
    </xf>
    <xf numFmtId="0" fontId="17" fillId="0" borderId="0" xfId="0" applyFont="1" applyFill="1" applyBorder="1" applyProtection="1">
      <protection locked="0"/>
    </xf>
    <xf numFmtId="4" fontId="17" fillId="27" borderId="1" xfId="6" applyNumberFormat="1" applyFont="1" applyFill="1" applyBorder="1" applyAlignment="1">
      <alignment horizontal="right" vertical="center" wrapText="1"/>
    </xf>
    <xf numFmtId="168" fontId="17" fillId="27" borderId="1" xfId="6" applyNumberFormat="1" applyFont="1" applyFill="1" applyBorder="1" applyAlignment="1">
      <alignment horizontal="right" vertical="center" wrapText="1"/>
    </xf>
    <xf numFmtId="0" fontId="16" fillId="13" borderId="13"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0" fontId="16" fillId="13" borderId="15" xfId="0" applyFont="1" applyFill="1" applyBorder="1" applyAlignment="1" applyProtection="1">
      <alignment vertical="center"/>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1" fillId="8" borderId="1" xfId="0" applyFont="1" applyFill="1" applyBorder="1" applyAlignment="1">
      <alignment vertical="center" wrapText="1"/>
    </xf>
    <xf numFmtId="0" fontId="21" fillId="9" borderId="1" xfId="0" applyFont="1" applyFill="1" applyBorder="1" applyAlignment="1">
      <alignment vertical="center" wrapText="1"/>
    </xf>
    <xf numFmtId="0" fontId="16" fillId="10" borderId="1" xfId="0" applyFont="1" applyFill="1" applyBorder="1" applyAlignment="1">
      <alignment vertical="center" wrapText="1"/>
    </xf>
    <xf numFmtId="0" fontId="16" fillId="29" borderId="1" xfId="0" applyFont="1" applyFill="1" applyBorder="1" applyAlignment="1" applyProtection="1">
      <alignment horizontal="center" vertical="center"/>
      <protection locked="0"/>
    </xf>
    <xf numFmtId="0" fontId="16" fillId="13" borderId="0" xfId="0" applyFont="1" applyFill="1" applyAlignment="1" applyProtection="1">
      <alignment vertical="center"/>
      <protection locked="0"/>
    </xf>
    <xf numFmtId="4" fontId="16" fillId="13" borderId="1" xfId="6" applyNumberFormat="1" applyFont="1" applyFill="1" applyBorder="1" applyAlignment="1" applyProtection="1">
      <alignment horizontal="right" vertical="center"/>
      <protection locked="0"/>
    </xf>
    <xf numFmtId="0" fontId="19" fillId="0" borderId="0" xfId="0" applyFont="1" applyProtection="1">
      <protection locked="0"/>
    </xf>
    <xf numFmtId="0" fontId="16" fillId="0" borderId="9"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16" fillId="0" borderId="6" xfId="0" applyFont="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49" fontId="16" fillId="29" borderId="1" xfId="0" applyNumberFormat="1" applyFont="1" applyFill="1" applyBorder="1" applyAlignment="1" applyProtection="1">
      <alignment horizontal="center" vertical="center"/>
      <protection locked="0"/>
    </xf>
    <xf numFmtId="0" fontId="16" fillId="12" borderId="0" xfId="0" applyFont="1" applyFill="1" applyProtection="1">
      <protection locked="0"/>
    </xf>
    <xf numFmtId="0" fontId="16" fillId="13" borderId="1" xfId="0" applyFont="1" applyFill="1" applyBorder="1" applyAlignment="1">
      <alignment horizontal="center" vertical="center" wrapText="1"/>
    </xf>
    <xf numFmtId="43" fontId="0" fillId="0" borderId="0" xfId="0" applyNumberFormat="1"/>
    <xf numFmtId="0" fontId="16" fillId="27" borderId="1" xfId="0" applyFont="1" applyFill="1" applyBorder="1" applyProtection="1">
      <protection locked="0"/>
    </xf>
    <xf numFmtId="0" fontId="16" fillId="13" borderId="0" xfId="0" applyFont="1" applyFill="1" applyAlignment="1" applyProtection="1">
      <alignment horizontal="center" vertical="center"/>
      <protection locked="0"/>
    </xf>
    <xf numFmtId="0" fontId="16" fillId="10" borderId="12" xfId="0" applyFont="1" applyFill="1" applyBorder="1" applyAlignment="1">
      <alignment horizontal="center" vertical="center"/>
    </xf>
    <xf numFmtId="0" fontId="21" fillId="15" borderId="1" xfId="0" applyFont="1" applyFill="1" applyBorder="1" applyAlignment="1">
      <alignment vertical="center" wrapText="1"/>
    </xf>
    <xf numFmtId="0" fontId="21" fillId="16" borderId="1" xfId="0" applyFont="1" applyFill="1" applyBorder="1" applyAlignment="1">
      <alignment vertical="center" wrapText="1"/>
    </xf>
    <xf numFmtId="0" fontId="18" fillId="17" borderId="1" xfId="0" applyFont="1" applyFill="1" applyBorder="1" applyAlignment="1">
      <alignment vertical="center" wrapText="1"/>
    </xf>
    <xf numFmtId="0" fontId="16" fillId="29" borderId="1" xfId="0" quotePrefix="1" applyFont="1" applyFill="1" applyBorder="1" applyAlignment="1" applyProtection="1">
      <alignment horizontal="center" vertical="center"/>
      <protection locked="0"/>
    </xf>
    <xf numFmtId="49" fontId="16" fillId="29" borderId="1" xfId="0" quotePrefix="1" applyNumberFormat="1" applyFont="1" applyFill="1" applyBorder="1" applyAlignment="1" applyProtection="1">
      <alignment horizontal="center" vertical="center"/>
      <protection locked="0"/>
    </xf>
    <xf numFmtId="0" fontId="0" fillId="12" borderId="0" xfId="0" applyFill="1"/>
    <xf numFmtId="0" fontId="16" fillId="18" borderId="1" xfId="0" applyFont="1" applyFill="1" applyBorder="1" applyAlignment="1">
      <alignment horizontal="left" vertical="center" wrapText="1"/>
    </xf>
    <xf numFmtId="49" fontId="16" fillId="13" borderId="0" xfId="0" applyNumberFormat="1" applyFont="1" applyFill="1" applyAlignment="1" applyProtection="1">
      <alignment horizontal="center" vertical="center"/>
      <protection locked="0"/>
    </xf>
    <xf numFmtId="0" fontId="17" fillId="13" borderId="0" xfId="0" applyFont="1" applyFill="1" applyAlignment="1" applyProtection="1">
      <alignment horizontal="center" vertical="center"/>
      <protection locked="0"/>
    </xf>
    <xf numFmtId="49" fontId="21" fillId="19" borderId="3" xfId="0" applyNumberFormat="1" applyFont="1" applyFill="1" applyBorder="1" applyAlignment="1" applyProtection="1">
      <alignment horizontal="center" vertical="center"/>
      <protection locked="0"/>
    </xf>
    <xf numFmtId="0" fontId="21" fillId="19" borderId="1" xfId="0" applyFont="1" applyFill="1" applyBorder="1" applyAlignment="1">
      <alignment vertical="center" wrapText="1"/>
    </xf>
    <xf numFmtId="4" fontId="21" fillId="19" borderId="1" xfId="1" applyNumberFormat="1" applyFont="1" applyFill="1" applyBorder="1" applyAlignment="1" applyProtection="1">
      <alignment horizontal="right" vertical="center" wrapText="1"/>
    </xf>
    <xf numFmtId="41" fontId="21" fillId="19" borderId="1" xfId="1" applyFont="1" applyFill="1" applyBorder="1" applyAlignment="1" applyProtection="1">
      <alignment horizontal="right" vertical="center" wrapText="1"/>
    </xf>
    <xf numFmtId="49" fontId="21" fillId="29" borderId="1" xfId="0" applyNumberFormat="1" applyFont="1" applyFill="1" applyBorder="1" applyAlignment="1" applyProtection="1">
      <alignment horizontal="center" vertical="center"/>
      <protection locked="0"/>
    </xf>
    <xf numFmtId="49" fontId="21" fillId="20" borderId="1" xfId="0" applyNumberFormat="1" applyFont="1" applyFill="1" applyBorder="1" applyAlignment="1" applyProtection="1">
      <alignment horizontal="center" vertical="center"/>
      <protection locked="0"/>
    </xf>
    <xf numFmtId="0" fontId="21" fillId="20" borderId="1" xfId="0" applyFont="1" applyFill="1" applyBorder="1" applyAlignment="1">
      <alignment vertical="center" wrapText="1"/>
    </xf>
    <xf numFmtId="49" fontId="21" fillId="13" borderId="0" xfId="0" applyNumberFormat="1" applyFont="1" applyFill="1" applyAlignment="1" applyProtection="1">
      <alignment horizontal="center" vertical="center"/>
      <protection locked="0"/>
    </xf>
    <xf numFmtId="49" fontId="21" fillId="13" borderId="0" xfId="0" applyNumberFormat="1" applyFont="1" applyFill="1" applyAlignment="1" applyProtection="1">
      <alignment vertical="center"/>
      <protection locked="0"/>
    </xf>
    <xf numFmtId="4" fontId="21" fillId="20" borderId="1" xfId="1" applyNumberFormat="1" applyFont="1" applyFill="1" applyBorder="1" applyAlignment="1" applyProtection="1">
      <alignment horizontal="right" vertical="center" wrapText="1"/>
    </xf>
    <xf numFmtId="49" fontId="21" fillId="13" borderId="7" xfId="0" applyNumberFormat="1" applyFont="1" applyFill="1" applyBorder="1" applyAlignment="1" applyProtection="1">
      <alignment vertical="center"/>
      <protection locked="0"/>
    </xf>
    <xf numFmtId="49" fontId="21" fillId="13" borderId="8" xfId="0" applyNumberFormat="1" applyFont="1" applyFill="1" applyBorder="1" applyAlignment="1" applyProtection="1">
      <alignment vertical="center"/>
      <protection locked="0"/>
    </xf>
    <xf numFmtId="0" fontId="21" fillId="21" borderId="1" xfId="0" applyFont="1" applyFill="1" applyBorder="1" applyAlignment="1">
      <alignment vertical="center" wrapText="1"/>
    </xf>
    <xf numFmtId="0" fontId="21" fillId="22" borderId="1" xfId="0" applyFont="1" applyFill="1" applyBorder="1" applyAlignment="1">
      <alignment vertical="center" wrapText="1"/>
    </xf>
    <xf numFmtId="0" fontId="16" fillId="23" borderId="1" xfId="0" applyFont="1" applyFill="1" applyBorder="1" applyAlignment="1">
      <alignment vertical="center" wrapText="1"/>
    </xf>
    <xf numFmtId="0" fontId="16" fillId="25" borderId="1" xfId="0" quotePrefix="1"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21" fillId="7" borderId="1" xfId="0" applyFont="1" applyFill="1" applyBorder="1" applyAlignment="1">
      <alignment vertical="center" wrapText="1"/>
    </xf>
    <xf numFmtId="0" fontId="16" fillId="24" borderId="1" xfId="0" applyFont="1" applyFill="1" applyBorder="1" applyAlignment="1">
      <alignment vertical="center" wrapText="1"/>
    </xf>
    <xf numFmtId="0" fontId="20" fillId="29" borderId="1" xfId="0" applyFont="1" applyFill="1" applyBorder="1" applyAlignment="1" applyProtection="1">
      <alignment horizontal="center" vertical="center"/>
      <protection locked="0"/>
    </xf>
    <xf numFmtId="49" fontId="20" fillId="29" borderId="1" xfId="0" applyNumberFormat="1" applyFont="1" applyFill="1" applyBorder="1" applyAlignment="1" applyProtection="1">
      <alignment horizontal="center" vertical="center"/>
      <protection locked="0"/>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2"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6" fillId="10" borderId="15" xfId="0" applyFont="1" applyFill="1" applyBorder="1" applyAlignment="1" applyProtection="1">
      <alignment horizontal="center" vertical="center" wrapText="1"/>
      <protection locked="0"/>
    </xf>
    <xf numFmtId="49" fontId="20" fillId="8" borderId="1" xfId="0" applyNumberFormat="1" applyFont="1" applyFill="1" applyBorder="1" applyAlignment="1" applyProtection="1">
      <alignment horizontal="center" vertical="center"/>
      <protection locked="0"/>
    </xf>
    <xf numFmtId="0" fontId="17" fillId="12" borderId="6" xfId="0" applyFont="1" applyFill="1" applyBorder="1" applyAlignment="1" applyProtection="1">
      <alignment horizontal="center" vertical="center"/>
      <protection locked="0"/>
    </xf>
    <xf numFmtId="4" fontId="22" fillId="12" borderId="1" xfId="6" applyNumberFormat="1" applyFont="1" applyFill="1" applyBorder="1" applyAlignment="1" applyProtection="1">
      <alignment horizontal="right" vertical="center" wrapText="1"/>
    </xf>
    <xf numFmtId="167" fontId="22" fillId="12" borderId="1" xfId="6" applyNumberFormat="1" applyFont="1" applyFill="1" applyBorder="1" applyAlignment="1" applyProtection="1">
      <alignment horizontal="right" vertical="center" wrapText="1"/>
    </xf>
    <xf numFmtId="0" fontId="22" fillId="30" borderId="1" xfId="0" applyFont="1" applyFill="1" applyBorder="1" applyAlignment="1" applyProtection="1">
      <alignment vertical="center"/>
      <protection locked="0"/>
    </xf>
    <xf numFmtId="4" fontId="32" fillId="13" borderId="1" xfId="6" applyNumberFormat="1" applyFont="1" applyFill="1" applyBorder="1" applyAlignment="1" applyProtection="1">
      <alignment horizontal="right" vertical="center" wrapText="1"/>
      <protection locked="0"/>
    </xf>
    <xf numFmtId="4" fontId="17" fillId="13" borderId="1" xfId="6" applyNumberFormat="1" applyFont="1" applyFill="1" applyBorder="1" applyAlignment="1" applyProtection="1">
      <alignment horizontal="right" vertical="center" wrapText="1"/>
    </xf>
    <xf numFmtId="167" fontId="17" fillId="13" borderId="1" xfId="6" applyNumberFormat="1" applyFont="1" applyFill="1" applyBorder="1" applyAlignment="1" applyProtection="1">
      <alignment horizontal="right" vertical="center" wrapText="1"/>
    </xf>
    <xf numFmtId="0" fontId="19" fillId="6" borderId="0" xfId="0" applyFont="1" applyFill="1" applyAlignment="1" applyProtection="1">
      <alignment horizontal="center" vertical="center"/>
      <protection locked="0"/>
    </xf>
    <xf numFmtId="167" fontId="21" fillId="8" borderId="1" xfId="0" applyNumberFormat="1" applyFont="1" applyFill="1" applyBorder="1" applyAlignment="1" applyProtection="1">
      <alignment horizontal="center" vertical="center"/>
      <protection locked="0"/>
    </xf>
    <xf numFmtId="167" fontId="21" fillId="9" borderId="1" xfId="0" applyNumberFormat="1" applyFont="1" applyFill="1" applyBorder="1" applyAlignment="1" applyProtection="1">
      <alignment horizontal="center" vertical="center"/>
      <protection locked="0"/>
    </xf>
    <xf numFmtId="167" fontId="16" fillId="10"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protection locked="0"/>
    </xf>
    <xf numFmtId="44" fontId="16" fillId="11"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vertical="center" wrapText="1"/>
      <protection locked="0"/>
    </xf>
    <xf numFmtId="167" fontId="20" fillId="15" borderId="1" xfId="0" applyNumberFormat="1" applyFont="1" applyFill="1" applyBorder="1" applyAlignment="1" applyProtection="1">
      <alignment horizontal="center" vertical="center"/>
      <protection locked="0"/>
    </xf>
    <xf numFmtId="0" fontId="21" fillId="16" borderId="1" xfId="0" applyFont="1" applyFill="1" applyBorder="1" applyAlignment="1" applyProtection="1">
      <alignment horizontal="center" vertical="center"/>
      <protection locked="0"/>
    </xf>
    <xf numFmtId="167" fontId="18" fillId="17" borderId="1" xfId="0" applyNumberFormat="1" applyFont="1" applyFill="1" applyBorder="1" applyAlignment="1" applyProtection="1">
      <alignment horizontal="center" vertical="center"/>
      <protection locked="0"/>
    </xf>
    <xf numFmtId="0" fontId="21" fillId="19" borderId="1" xfId="0" applyFont="1" applyFill="1" applyBorder="1" applyAlignment="1" applyProtection="1">
      <alignment horizontal="center" vertical="center"/>
      <protection locked="0"/>
    </xf>
    <xf numFmtId="0" fontId="21" fillId="21" borderId="1" xfId="0" applyFont="1" applyFill="1" applyBorder="1" applyAlignment="1" applyProtection="1">
      <alignment horizontal="center" vertical="center"/>
      <protection locked="0"/>
    </xf>
    <xf numFmtId="0" fontId="18" fillId="24" borderId="1" xfId="0" applyFont="1" applyFill="1" applyBorder="1" applyAlignment="1" applyProtection="1">
      <alignment horizontal="center" vertical="center"/>
      <protection locked="0"/>
    </xf>
    <xf numFmtId="0" fontId="18" fillId="25" borderId="1" xfId="0" applyFont="1" applyFill="1" applyBorder="1" applyAlignment="1" applyProtection="1">
      <alignment horizontal="center" vertical="center"/>
      <protection locked="0"/>
    </xf>
    <xf numFmtId="0" fontId="16" fillId="8" borderId="1" xfId="0" applyFont="1" applyFill="1" applyBorder="1" applyAlignment="1" applyProtection="1">
      <alignment horizontal="center" vertical="center"/>
      <protection locked="0"/>
    </xf>
    <xf numFmtId="0" fontId="18" fillId="6" borderId="1" xfId="0"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protection locked="0"/>
    </xf>
    <xf numFmtId="0" fontId="20" fillId="8" borderId="5" xfId="0" applyFont="1" applyFill="1" applyBorder="1" applyAlignment="1" applyProtection="1">
      <alignment horizontal="center" vertical="center"/>
      <protection locked="0"/>
    </xf>
    <xf numFmtId="0" fontId="21" fillId="9" borderId="5" xfId="0" applyFont="1" applyFill="1" applyBorder="1" applyAlignment="1" applyProtection="1">
      <alignment horizontal="center" vertical="center"/>
      <protection locked="0"/>
    </xf>
    <xf numFmtId="0" fontId="16" fillId="10" borderId="10"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11" borderId="10" xfId="0" applyFont="1" applyFill="1" applyBorder="1" applyAlignment="1" applyProtection="1">
      <alignment horizontal="center" vertical="center"/>
      <protection locked="0"/>
    </xf>
    <xf numFmtId="0" fontId="16" fillId="12" borderId="10" xfId="0" applyFont="1" applyFill="1" applyBorder="1" applyAlignment="1" applyProtection="1">
      <alignment horizontal="center" vertical="center"/>
      <protection locked="0"/>
    </xf>
    <xf numFmtId="0" fontId="16" fillId="0" borderId="7" xfId="0" applyFont="1" applyFill="1" applyBorder="1" applyAlignment="1" applyProtection="1">
      <alignment horizontal="center" vertical="center"/>
      <protection locked="0"/>
    </xf>
    <xf numFmtId="0" fontId="16" fillId="0" borderId="10" xfId="0" applyFont="1" applyFill="1" applyBorder="1" applyAlignment="1" applyProtection="1">
      <alignment horizontal="center" vertical="center"/>
      <protection locked="0"/>
    </xf>
    <xf numFmtId="0" fontId="20" fillId="15" borderId="10" xfId="0" applyFont="1" applyFill="1" applyBorder="1" applyAlignment="1" applyProtection="1">
      <alignment horizontal="center" vertical="center"/>
      <protection locked="0"/>
    </xf>
    <xf numFmtId="0" fontId="21" fillId="16" borderId="5" xfId="0" applyFont="1" applyFill="1" applyBorder="1" applyAlignment="1" applyProtection="1">
      <alignment horizontal="center" vertical="center"/>
      <protection locked="0"/>
    </xf>
    <xf numFmtId="0" fontId="16" fillId="17" borderId="10" xfId="0" applyFont="1" applyFill="1" applyBorder="1" applyAlignment="1" applyProtection="1">
      <alignment horizontal="center" vertical="center"/>
      <protection locked="0"/>
    </xf>
    <xf numFmtId="0" fontId="16" fillId="18" borderId="10" xfId="0" applyFont="1" applyFill="1" applyBorder="1" applyAlignment="1" applyProtection="1">
      <alignment horizontal="center" vertical="center"/>
      <protection locked="0"/>
    </xf>
    <xf numFmtId="49" fontId="16" fillId="6" borderId="5" xfId="0" applyNumberFormat="1" applyFont="1" applyFill="1" applyBorder="1" applyAlignment="1" applyProtection="1">
      <alignment horizontal="center" vertical="center"/>
      <protection locked="0"/>
    </xf>
    <xf numFmtId="49" fontId="16" fillId="18" borderId="10" xfId="0" applyNumberFormat="1" applyFont="1" applyFill="1" applyBorder="1" applyAlignment="1" applyProtection="1">
      <alignment horizontal="center" vertical="center"/>
      <protection locked="0"/>
    </xf>
    <xf numFmtId="49" fontId="16" fillId="12" borderId="10" xfId="0" applyNumberFormat="1" applyFont="1" applyFill="1" applyBorder="1" applyAlignment="1" applyProtection="1">
      <alignment horizontal="center" vertical="center"/>
      <protection locked="0"/>
    </xf>
    <xf numFmtId="0" fontId="21" fillId="19" borderId="5" xfId="0" applyFont="1" applyFill="1" applyBorder="1" applyAlignment="1" applyProtection="1">
      <alignment horizontal="center" vertical="center"/>
      <protection locked="0"/>
    </xf>
    <xf numFmtId="0" fontId="21" fillId="20" borderId="10" xfId="0" applyFont="1" applyFill="1" applyBorder="1" applyAlignment="1" applyProtection="1">
      <alignment horizontal="center" vertical="center"/>
      <protection locked="0"/>
    </xf>
    <xf numFmtId="0" fontId="21" fillId="21" borderId="5" xfId="0" applyFont="1" applyFill="1" applyBorder="1" applyAlignment="1" applyProtection="1">
      <alignment horizontal="center" vertical="center"/>
      <protection locked="0"/>
    </xf>
    <xf numFmtId="0" fontId="21" fillId="22" borderId="10" xfId="0" applyFont="1" applyFill="1" applyBorder="1" applyAlignment="1" applyProtection="1">
      <alignment horizontal="center" vertical="center"/>
      <protection locked="0"/>
    </xf>
    <xf numFmtId="0" fontId="16" fillId="23" borderId="10" xfId="0" applyFont="1" applyFill="1" applyBorder="1" applyAlignment="1" applyProtection="1">
      <alignment horizontal="center" vertical="center"/>
      <protection locked="0"/>
    </xf>
    <xf numFmtId="0" fontId="16" fillId="6" borderId="10" xfId="0" applyFont="1" applyFill="1" applyBorder="1" applyAlignment="1" applyProtection="1">
      <alignment horizontal="center" vertical="center"/>
      <protection locked="0"/>
    </xf>
    <xf numFmtId="0" fontId="21" fillId="7" borderId="10" xfId="0" applyFont="1" applyFill="1" applyBorder="1" applyAlignment="1" applyProtection="1">
      <alignment horizontal="center" vertical="center"/>
      <protection locked="0"/>
    </xf>
    <xf numFmtId="0" fontId="16" fillId="24" borderId="10" xfId="0" applyFont="1" applyFill="1" applyBorder="1" applyAlignment="1" applyProtection="1">
      <alignment horizontal="center" vertical="center"/>
      <protection locked="0"/>
    </xf>
    <xf numFmtId="0" fontId="16" fillId="25" borderId="10" xfId="0" applyFont="1" applyFill="1" applyBorder="1" applyAlignment="1" applyProtection="1">
      <alignment horizontal="center" vertical="center"/>
      <protection locked="0"/>
    </xf>
    <xf numFmtId="0" fontId="20" fillId="8" borderId="10" xfId="0" applyFont="1" applyFill="1" applyBorder="1" applyAlignment="1" applyProtection="1">
      <alignment horizontal="center" vertical="center"/>
      <protection locked="0"/>
    </xf>
    <xf numFmtId="0" fontId="16" fillId="12" borderId="6" xfId="0" applyFont="1" applyFill="1" applyBorder="1" applyAlignment="1" applyProtection="1">
      <alignment horizontal="center" vertical="center"/>
      <protection locked="0"/>
    </xf>
    <xf numFmtId="0" fontId="21" fillId="9" borderId="1" xfId="0" applyFont="1" applyFill="1" applyBorder="1" applyAlignment="1" applyProtection="1">
      <alignment horizontal="center" vertical="center"/>
      <protection locked="0"/>
    </xf>
    <xf numFmtId="0" fontId="16" fillId="13" borderId="1" xfId="0" applyFont="1" applyFill="1" applyBorder="1" applyAlignment="1" applyProtection="1">
      <alignment horizontal="justify" vertical="center" wrapText="1"/>
      <protection locked="0"/>
    </xf>
    <xf numFmtId="4" fontId="16" fillId="13" borderId="1" xfId="6" applyNumberFormat="1" applyFont="1" applyFill="1" applyBorder="1" applyAlignment="1" applyProtection="1">
      <alignment horizontal="justify" vertical="center" wrapText="1"/>
      <protection locked="0"/>
    </xf>
    <xf numFmtId="164" fontId="17" fillId="31"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protection locked="0"/>
    </xf>
    <xf numFmtId="0" fontId="16" fillId="13" borderId="0" xfId="0" applyFont="1" applyFill="1" applyAlignment="1" applyProtection="1">
      <alignment vertical="center" wrapText="1"/>
      <protection locked="0"/>
    </xf>
    <xf numFmtId="14" fontId="16" fillId="13" borderId="1" xfId="1" applyNumberFormat="1" applyFont="1" applyFill="1" applyBorder="1" applyAlignment="1" applyProtection="1">
      <alignment horizontal="center" vertical="center"/>
      <protection locked="0"/>
    </xf>
    <xf numFmtId="41" fontId="16" fillId="13" borderId="1" xfId="1" applyFont="1" applyFill="1" applyBorder="1" applyAlignment="1" applyProtection="1">
      <alignment horizontal="center" vertical="center" wrapText="1"/>
      <protection locked="0"/>
    </xf>
    <xf numFmtId="167" fontId="17" fillId="31" borderId="1" xfId="6" applyNumberFormat="1" applyFont="1" applyFill="1" applyBorder="1" applyAlignment="1" applyProtection="1">
      <alignment horizontal="center" vertical="center" wrapText="1"/>
      <protection locked="0"/>
    </xf>
    <xf numFmtId="167" fontId="17" fillId="31" borderId="1" xfId="6" applyNumberFormat="1" applyFont="1" applyFill="1" applyBorder="1" applyAlignment="1">
      <alignment horizontal="center" vertical="center" wrapText="1"/>
    </xf>
    <xf numFmtId="4" fontId="17" fillId="31" borderId="1" xfId="6" applyNumberFormat="1" applyFont="1" applyFill="1" applyBorder="1" applyAlignment="1" applyProtection="1">
      <alignment horizontal="right" vertical="center" wrapText="1"/>
      <protection locked="0"/>
    </xf>
    <xf numFmtId="4" fontId="16" fillId="31" borderId="0" xfId="0" applyNumberFormat="1" applyFont="1" applyFill="1" applyProtection="1">
      <protection locked="0"/>
    </xf>
    <xf numFmtId="0" fontId="16" fillId="31" borderId="1" xfId="0" applyFont="1" applyFill="1" applyBorder="1" applyAlignment="1" applyProtection="1">
      <alignment horizontal="center" vertical="center"/>
      <protection locked="0"/>
    </xf>
    <xf numFmtId="4" fontId="17" fillId="13" borderId="1" xfId="6" applyNumberFormat="1" applyFont="1" applyFill="1" applyBorder="1" applyAlignment="1" applyProtection="1">
      <alignment horizontal="left" vertical="center" wrapText="1"/>
      <protection locked="0"/>
    </xf>
    <xf numFmtId="14" fontId="17" fillId="13" borderId="1" xfId="6" applyNumberFormat="1" applyFont="1" applyFill="1" applyBorder="1" applyAlignment="1" applyProtection="1">
      <alignment horizontal="center" vertical="center" wrapText="1"/>
      <protection locked="0"/>
    </xf>
    <xf numFmtId="169" fontId="16" fillId="13" borderId="1" xfId="1" applyNumberFormat="1" applyFont="1" applyFill="1" applyBorder="1" applyAlignment="1" applyProtection="1">
      <alignment vertical="center"/>
      <protection locked="0"/>
    </xf>
    <xf numFmtId="169" fontId="33" fillId="13" borderId="1" xfId="1" applyNumberFormat="1" applyFont="1" applyFill="1" applyBorder="1" applyProtection="1">
      <protection locked="0"/>
    </xf>
    <xf numFmtId="49" fontId="16" fillId="13" borderId="1" xfId="1" applyNumberFormat="1" applyFont="1" applyFill="1" applyBorder="1" applyAlignment="1" applyProtection="1">
      <alignment horizontal="center" vertical="center"/>
      <protection locked="0"/>
    </xf>
    <xf numFmtId="4" fontId="33" fillId="13" borderId="10" xfId="1" applyNumberFormat="1" applyFont="1" applyFill="1" applyBorder="1" applyAlignment="1" applyProtection="1">
      <alignment horizontal="right"/>
      <protection locked="0"/>
    </xf>
    <xf numFmtId="169" fontId="34" fillId="13" borderId="1" xfId="0" applyNumberFormat="1" applyFont="1" applyFill="1" applyBorder="1" applyProtection="1">
      <protection locked="0"/>
    </xf>
    <xf numFmtId="0" fontId="16" fillId="13" borderId="6" xfId="0" applyFont="1" applyFill="1" applyBorder="1" applyAlignment="1" applyProtection="1">
      <alignment horizontal="center" vertical="center"/>
      <protection locked="0"/>
    </xf>
    <xf numFmtId="0" fontId="16" fillId="0" borderId="0" xfId="0" applyFont="1" applyAlignment="1" applyProtection="1">
      <alignment horizontal="center"/>
      <protection locked="0"/>
    </xf>
    <xf numFmtId="4" fontId="16" fillId="0" borderId="0" xfId="0" applyNumberFormat="1" applyFont="1" applyAlignment="1" applyProtection="1">
      <alignment horizontal="right"/>
      <protection locked="0"/>
    </xf>
    <xf numFmtId="4" fontId="2" fillId="7" borderId="3" xfId="2" applyNumberFormat="1" applyFont="1" applyFill="1" applyBorder="1" applyAlignment="1" applyProtection="1">
      <alignment horizontal="right" vertical="center" wrapText="1"/>
      <protection locked="0"/>
    </xf>
    <xf numFmtId="41" fontId="32" fillId="13" borderId="1" xfId="1" applyFont="1" applyFill="1" applyBorder="1" applyAlignment="1" applyProtection="1">
      <alignment horizontal="right" vertical="center"/>
      <protection locked="0"/>
    </xf>
    <xf numFmtId="169" fontId="16" fillId="0" borderId="0" xfId="1" applyNumberFormat="1" applyFont="1" applyProtection="1">
      <protection locked="0"/>
    </xf>
    <xf numFmtId="169" fontId="2" fillId="7" borderId="3" xfId="1" applyNumberFormat="1" applyFont="1" applyFill="1" applyBorder="1" applyAlignment="1" applyProtection="1">
      <alignment horizontal="center" vertical="center" wrapText="1"/>
      <protection locked="0"/>
    </xf>
    <xf numFmtId="169" fontId="21" fillId="8" borderId="1" xfId="1" applyNumberFormat="1" applyFont="1" applyFill="1" applyBorder="1" applyAlignment="1" applyProtection="1">
      <alignment horizontal="right" vertical="center" wrapText="1"/>
    </xf>
    <xf numFmtId="169" fontId="21" fillId="9" borderId="1" xfId="1" applyNumberFormat="1" applyFont="1" applyFill="1" applyBorder="1" applyAlignment="1" applyProtection="1">
      <alignment horizontal="right" vertical="center" wrapText="1"/>
    </xf>
    <xf numFmtId="169" fontId="17" fillId="10" borderId="1" xfId="1" applyNumberFormat="1" applyFont="1" applyFill="1" applyBorder="1" applyAlignment="1" applyProtection="1">
      <alignment horizontal="right" vertical="center" wrapText="1"/>
    </xf>
    <xf numFmtId="169" fontId="17" fillId="6" borderId="1" xfId="1" applyNumberFormat="1" applyFont="1" applyFill="1" applyBorder="1" applyAlignment="1" applyProtection="1">
      <alignment horizontal="right" vertical="center" wrapText="1"/>
    </xf>
    <xf numFmtId="169" fontId="17" fillId="11" borderId="1" xfId="1" applyNumberFormat="1" applyFont="1" applyFill="1" applyBorder="1" applyAlignment="1" applyProtection="1">
      <alignment horizontal="right" vertical="center" wrapText="1"/>
    </xf>
    <xf numFmtId="169" fontId="17" fillId="12" borderId="1" xfId="1" applyNumberFormat="1" applyFont="1" applyFill="1" applyBorder="1" applyAlignment="1" applyProtection="1">
      <alignment horizontal="right" vertical="center" wrapText="1"/>
    </xf>
    <xf numFmtId="169" fontId="17" fillId="13" borderId="1" xfId="1"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xf>
    <xf numFmtId="169" fontId="16" fillId="13" borderId="1" xfId="1" applyNumberFormat="1" applyFont="1" applyFill="1" applyBorder="1" applyProtection="1">
      <protection locked="0"/>
    </xf>
    <xf numFmtId="169" fontId="16" fillId="13" borderId="1" xfId="1" applyNumberFormat="1" applyFont="1" applyFill="1" applyBorder="1" applyAlignment="1" applyProtection="1">
      <alignment horizontal="center" vertical="center"/>
      <protection locked="0"/>
    </xf>
    <xf numFmtId="169" fontId="16" fillId="13" borderId="1" xfId="0" applyNumberFormat="1" applyFont="1" applyFill="1" applyBorder="1" applyProtection="1">
      <protection locked="0"/>
    </xf>
    <xf numFmtId="169" fontId="16" fillId="13" borderId="1" xfId="1" applyNumberFormat="1" applyFont="1" applyFill="1" applyBorder="1" applyAlignment="1" applyProtection="1">
      <alignment horizontal="right" vertical="center" wrapText="1"/>
      <protection locked="0"/>
    </xf>
    <xf numFmtId="169" fontId="17" fillId="13" borderId="1" xfId="1" applyNumberFormat="1" applyFont="1" applyFill="1" applyBorder="1" applyAlignment="1" applyProtection="1">
      <alignment horizontal="right" vertical="center" wrapText="1"/>
    </xf>
    <xf numFmtId="169" fontId="16" fillId="31" borderId="1" xfId="1" applyNumberFormat="1" applyFont="1" applyFill="1" applyBorder="1" applyProtection="1">
      <protection locked="0"/>
    </xf>
    <xf numFmtId="169" fontId="21" fillId="15" borderId="1" xfId="1" applyNumberFormat="1" applyFont="1" applyFill="1" applyBorder="1" applyAlignment="1" applyProtection="1">
      <alignment horizontal="right" vertical="center" wrapText="1"/>
    </xf>
    <xf numFmtId="169" fontId="21" fillId="16" borderId="1" xfId="1" applyNumberFormat="1" applyFont="1" applyFill="1" applyBorder="1" applyAlignment="1" applyProtection="1">
      <alignment horizontal="right" vertical="center" wrapText="1"/>
    </xf>
    <xf numFmtId="169" fontId="22" fillId="17" borderId="1" xfId="1" applyNumberFormat="1" applyFont="1" applyFill="1" applyBorder="1" applyAlignment="1" applyProtection="1">
      <alignment horizontal="right" vertical="center" wrapText="1"/>
    </xf>
    <xf numFmtId="169" fontId="17" fillId="18" borderId="1" xfId="1" applyNumberFormat="1" applyFont="1" applyFill="1" applyBorder="1" applyAlignment="1" applyProtection="1">
      <alignment horizontal="right" vertical="center" wrapText="1"/>
    </xf>
    <xf numFmtId="169" fontId="17" fillId="13" borderId="1" xfId="1" applyNumberFormat="1" applyFont="1" applyFill="1" applyBorder="1" applyAlignment="1">
      <alignment horizontal="right" vertical="center" wrapText="1"/>
    </xf>
    <xf numFmtId="169" fontId="21" fillId="19" borderId="1" xfId="1" applyNumberFormat="1" applyFont="1" applyFill="1" applyBorder="1" applyAlignment="1" applyProtection="1">
      <alignment horizontal="right" vertical="center" wrapText="1"/>
    </xf>
    <xf numFmtId="169" fontId="21" fillId="20" borderId="1" xfId="1" applyNumberFormat="1" applyFont="1" applyFill="1" applyBorder="1" applyAlignment="1" applyProtection="1">
      <alignment horizontal="right" vertical="center" wrapText="1"/>
    </xf>
    <xf numFmtId="169" fontId="21" fillId="21" borderId="1" xfId="1" applyNumberFormat="1" applyFont="1" applyFill="1" applyBorder="1" applyAlignment="1" applyProtection="1">
      <alignment horizontal="right" vertical="center" wrapText="1"/>
    </xf>
    <xf numFmtId="169" fontId="21" fillId="22"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protection locked="0"/>
    </xf>
    <xf numFmtId="169" fontId="21" fillId="7" borderId="1" xfId="1" applyNumberFormat="1" applyFont="1" applyFill="1" applyBorder="1" applyAlignment="1" applyProtection="1">
      <alignment horizontal="right" vertical="center" wrapText="1"/>
    </xf>
    <xf numFmtId="169" fontId="22" fillId="24" borderId="1" xfId="1" applyNumberFormat="1" applyFont="1" applyFill="1" applyBorder="1" applyAlignment="1" applyProtection="1">
      <alignment horizontal="right" vertical="center" wrapText="1"/>
    </xf>
    <xf numFmtId="169" fontId="22" fillId="25" borderId="1" xfId="1" applyNumberFormat="1" applyFont="1" applyFill="1" applyBorder="1" applyAlignment="1" applyProtection="1">
      <alignment horizontal="right" vertical="center" wrapText="1"/>
    </xf>
    <xf numFmtId="169" fontId="20" fillId="8" borderId="1" xfId="1" applyNumberFormat="1" applyFont="1" applyFill="1" applyBorder="1" applyAlignment="1" applyProtection="1">
      <alignment horizontal="right" vertical="center" wrapText="1"/>
    </xf>
    <xf numFmtId="169" fontId="22" fillId="6" borderId="1" xfId="1" applyNumberFormat="1" applyFont="1" applyFill="1" applyBorder="1" applyAlignment="1" applyProtection="1">
      <alignment horizontal="right" vertical="center" wrapText="1"/>
    </xf>
    <xf numFmtId="4" fontId="17" fillId="26" borderId="1" xfId="6" applyNumberFormat="1" applyFont="1" applyFill="1" applyBorder="1" applyAlignment="1" applyProtection="1">
      <alignment horizontal="right" vertical="center" wrapText="1"/>
      <protection locked="0"/>
    </xf>
    <xf numFmtId="4" fontId="16" fillId="14" borderId="1" xfId="6" applyNumberFormat="1" applyFont="1" applyFill="1" applyBorder="1" applyAlignment="1" applyProtection="1">
      <alignment horizontal="right" vertical="center" wrapText="1"/>
      <protection locked="0"/>
    </xf>
    <xf numFmtId="4" fontId="32" fillId="14" borderId="1" xfId="6" applyNumberFormat="1" applyFont="1" applyFill="1" applyBorder="1" applyAlignment="1" applyProtection="1">
      <alignment horizontal="right" vertical="center" wrapText="1"/>
      <protection locked="0"/>
    </xf>
    <xf numFmtId="166" fontId="0" fillId="0" borderId="0" xfId="6" applyFont="1"/>
    <xf numFmtId="0" fontId="35" fillId="0" borderId="14" xfId="0" applyFont="1" applyBorder="1"/>
    <xf numFmtId="0" fontId="0" fillId="32" borderId="1" xfId="0" applyFill="1" applyBorder="1"/>
    <xf numFmtId="0" fontId="0" fillId="32" borderId="1" xfId="6" applyNumberFormat="1" applyFont="1" applyFill="1" applyBorder="1" applyAlignment="1">
      <alignment horizontal="center" vertical="center"/>
    </xf>
    <xf numFmtId="0" fontId="0" fillId="32" borderId="1" xfId="0" applyFill="1" applyBorder="1" applyAlignment="1">
      <alignment horizontal="center" vertical="center"/>
    </xf>
    <xf numFmtId="0" fontId="35" fillId="0" borderId="0" xfId="0" applyFont="1" applyAlignment="1">
      <alignment horizontal="center" vertical="center"/>
    </xf>
    <xf numFmtId="0" fontId="0" fillId="26" borderId="1" xfId="0" applyFill="1" applyBorder="1"/>
    <xf numFmtId="170" fontId="0" fillId="33" borderId="1" xfId="6" applyNumberFormat="1" applyFont="1" applyFill="1" applyBorder="1"/>
    <xf numFmtId="170" fontId="0" fillId="0" borderId="1" xfId="6" applyNumberFormat="1" applyFont="1" applyBorder="1"/>
    <xf numFmtId="170" fontId="0" fillId="29" borderId="1" xfId="0" applyNumberFormat="1" applyFill="1" applyBorder="1"/>
    <xf numFmtId="170" fontId="0" fillId="0" borderId="1" xfId="0" applyNumberFormat="1" applyBorder="1"/>
    <xf numFmtId="166" fontId="0" fillId="33" borderId="1" xfId="6" applyFont="1" applyFill="1" applyBorder="1"/>
    <xf numFmtId="0" fontId="0" fillId="26" borderId="9" xfId="0" applyFill="1" applyBorder="1"/>
    <xf numFmtId="170" fontId="0" fillId="0" borderId="0" xfId="0" applyNumberFormat="1"/>
    <xf numFmtId="9" fontId="0" fillId="0" borderId="0" xfId="8" applyFont="1"/>
    <xf numFmtId="0" fontId="0" fillId="32" borderId="7" xfId="0" applyFill="1" applyBorder="1" applyAlignment="1">
      <alignment horizontal="center" vertical="center"/>
    </xf>
    <xf numFmtId="4" fontId="32" fillId="26" borderId="1" xfId="6" applyNumberFormat="1" applyFont="1" applyFill="1" applyBorder="1" applyAlignment="1" applyProtection="1">
      <alignment horizontal="right" vertical="center" wrapText="1"/>
      <protection locked="0"/>
    </xf>
    <xf numFmtId="0" fontId="36" fillId="0" borderId="0" xfId="0" applyFont="1" applyAlignment="1">
      <alignment vertical="center"/>
    </xf>
    <xf numFmtId="10" fontId="36" fillId="0" borderId="0" xfId="0" applyNumberFormat="1" applyFont="1" applyAlignment="1">
      <alignment horizontal="left" vertical="center"/>
    </xf>
    <xf numFmtId="0" fontId="36" fillId="0" borderId="0" xfId="0" applyFont="1" applyAlignment="1">
      <alignment horizontal="center" vertical="center"/>
    </xf>
    <xf numFmtId="0" fontId="37" fillId="0" borderId="0" xfId="0" applyFont="1" applyAlignment="1">
      <alignment vertical="center"/>
    </xf>
    <xf numFmtId="0" fontId="38" fillId="9"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39" fillId="9" borderId="1" xfId="0" applyFont="1" applyFill="1" applyBorder="1" applyAlignment="1">
      <alignment horizontal="center" vertical="center"/>
    </xf>
    <xf numFmtId="0" fontId="39" fillId="9" borderId="1" xfId="0" applyFont="1" applyFill="1" applyBorder="1" applyAlignment="1">
      <alignment horizontal="center" vertical="center" wrapText="1"/>
    </xf>
    <xf numFmtId="0" fontId="40" fillId="0" borderId="0" xfId="0" applyFont="1" applyAlignment="1">
      <alignment vertical="center"/>
    </xf>
    <xf numFmtId="171" fontId="36" fillId="0" borderId="0" xfId="7" applyNumberFormat="1" applyFont="1" applyAlignment="1">
      <alignment vertical="center"/>
    </xf>
    <xf numFmtId="3" fontId="37" fillId="0" borderId="0" xfId="0" applyNumberFormat="1" applyFont="1" applyAlignment="1">
      <alignment vertical="center"/>
    </xf>
    <xf numFmtId="14" fontId="36" fillId="0" borderId="0" xfId="0" applyNumberFormat="1" applyFont="1" applyAlignment="1">
      <alignment horizontal="center" vertical="center"/>
    </xf>
    <xf numFmtId="4" fontId="36" fillId="0" borderId="0" xfId="0" applyNumberFormat="1" applyFont="1" applyAlignment="1">
      <alignment vertical="center"/>
    </xf>
    <xf numFmtId="172" fontId="41" fillId="34" borderId="0" xfId="0" applyNumberFormat="1" applyFont="1" applyFill="1" applyAlignment="1">
      <alignment vertical="center"/>
    </xf>
    <xf numFmtId="9" fontId="36" fillId="0" borderId="0" xfId="8" applyFont="1" applyAlignment="1">
      <alignment vertical="center"/>
    </xf>
    <xf numFmtId="14" fontId="36" fillId="0" borderId="0" xfId="0" applyNumberFormat="1" applyFont="1" applyAlignment="1">
      <alignment vertical="center"/>
    </xf>
    <xf numFmtId="0" fontId="36" fillId="28" borderId="0" xfId="0" applyFont="1" applyFill="1" applyAlignment="1">
      <alignment vertical="center"/>
    </xf>
    <xf numFmtId="0" fontId="36" fillId="28" borderId="0" xfId="0" applyFont="1" applyFill="1" applyAlignment="1">
      <alignment horizontal="center" vertical="center"/>
    </xf>
    <xf numFmtId="171" fontId="36" fillId="28" borderId="0" xfId="7" applyNumberFormat="1" applyFont="1" applyFill="1" applyAlignment="1">
      <alignment vertical="center"/>
    </xf>
    <xf numFmtId="3" fontId="37" fillId="28" borderId="0" xfId="0" applyNumberFormat="1" applyFont="1" applyFill="1" applyAlignment="1">
      <alignment vertical="center"/>
    </xf>
    <xf numFmtId="14" fontId="36" fillId="28" borderId="0" xfId="0" applyNumberFormat="1" applyFont="1" applyFill="1" applyAlignment="1">
      <alignment vertical="center"/>
    </xf>
    <xf numFmtId="14" fontId="36" fillId="28" borderId="0" xfId="0" applyNumberFormat="1" applyFont="1" applyFill="1" applyAlignment="1">
      <alignment horizontal="center" vertical="center"/>
    </xf>
    <xf numFmtId="172" fontId="41" fillId="28" borderId="0" xfId="0" applyNumberFormat="1" applyFont="1" applyFill="1" applyAlignment="1">
      <alignment vertical="center"/>
    </xf>
    <xf numFmtId="0" fontId="37" fillId="0" borderId="0" xfId="0" applyFont="1" applyAlignment="1">
      <alignment horizontal="center" vertical="center"/>
    </xf>
    <xf numFmtId="171" fontId="37" fillId="0" borderId="0" xfId="7" applyNumberFormat="1" applyFont="1" applyAlignment="1">
      <alignment vertical="center"/>
    </xf>
    <xf numFmtId="14" fontId="37" fillId="0" borderId="0" xfId="0" applyNumberFormat="1" applyFont="1" applyAlignment="1">
      <alignment vertical="center"/>
    </xf>
    <xf numFmtId="14" fontId="37" fillId="0" borderId="0" xfId="0" applyNumberFormat="1" applyFont="1" applyAlignment="1">
      <alignment horizontal="center" vertical="center"/>
    </xf>
    <xf numFmtId="171" fontId="37" fillId="0" borderId="0" xfId="7" applyNumberFormat="1" applyFont="1" applyFill="1" applyAlignment="1">
      <alignment vertical="center"/>
    </xf>
    <xf numFmtId="0" fontId="37" fillId="12" borderId="0" xfId="0" applyFont="1" applyFill="1" applyAlignment="1">
      <alignment vertical="center"/>
    </xf>
    <xf numFmtId="0" fontId="36" fillId="12" borderId="0" xfId="0" applyFont="1" applyFill="1" applyAlignment="1">
      <alignment vertical="center"/>
    </xf>
    <xf numFmtId="0" fontId="36" fillId="12" borderId="0" xfId="0" applyFont="1" applyFill="1" applyAlignment="1">
      <alignment horizontal="center" vertical="center"/>
    </xf>
    <xf numFmtId="171" fontId="36" fillId="12" borderId="0" xfId="7" applyNumberFormat="1" applyFont="1" applyFill="1" applyAlignment="1">
      <alignment vertical="center"/>
    </xf>
    <xf numFmtId="3" fontId="37" fillId="12" borderId="0" xfId="0" applyNumberFormat="1" applyFont="1" applyFill="1" applyAlignment="1">
      <alignment vertical="center"/>
    </xf>
    <xf numFmtId="14" fontId="36" fillId="12" borderId="0" xfId="0" applyNumberFormat="1" applyFont="1" applyFill="1" applyAlignment="1">
      <alignment horizontal="center" vertical="center"/>
    </xf>
    <xf numFmtId="171" fontId="37" fillId="12" borderId="0" xfId="7" applyNumberFormat="1" applyFont="1" applyFill="1" applyAlignment="1">
      <alignment vertical="center"/>
    </xf>
    <xf numFmtId="14" fontId="37" fillId="12" borderId="0" xfId="0" applyNumberFormat="1" applyFont="1" applyFill="1" applyAlignment="1">
      <alignment vertical="center"/>
    </xf>
    <xf numFmtId="14" fontId="37" fillId="12" borderId="0" xfId="0" applyNumberFormat="1" applyFont="1" applyFill="1" applyAlignment="1">
      <alignment horizontal="center" vertical="center"/>
    </xf>
    <xf numFmtId="0" fontId="37" fillId="12" borderId="0" xfId="0" applyFont="1" applyFill="1" applyAlignment="1">
      <alignment horizontal="center" vertical="center"/>
    </xf>
    <xf numFmtId="171" fontId="36" fillId="0" borderId="0" xfId="7" applyNumberFormat="1" applyFont="1" applyFill="1" applyAlignment="1">
      <alignment vertical="center"/>
    </xf>
    <xf numFmtId="0" fontId="36" fillId="14" borderId="0" xfId="0" applyFont="1" applyFill="1" applyAlignment="1">
      <alignment vertical="center"/>
    </xf>
    <xf numFmtId="0" fontId="36" fillId="0" borderId="0" xfId="0" applyFont="1" applyAlignment="1">
      <alignment horizontal="right" vertical="center"/>
    </xf>
    <xf numFmtId="0" fontId="36" fillId="0" borderId="0" xfId="0" applyFont="1" applyAlignment="1">
      <alignment horizontal="left" vertical="center"/>
    </xf>
    <xf numFmtId="171" fontId="36" fillId="0" borderId="0" xfId="0" applyNumberFormat="1" applyFont="1" applyAlignment="1">
      <alignment vertical="center"/>
    </xf>
    <xf numFmtId="4" fontId="32" fillId="14" borderId="1" xfId="1" applyNumberFormat="1" applyFont="1" applyFill="1" applyBorder="1" applyAlignment="1" applyProtection="1">
      <alignment horizontal="right" vertical="center"/>
      <protection locked="0"/>
    </xf>
    <xf numFmtId="4" fontId="32" fillId="13" borderId="1" xfId="1" applyNumberFormat="1" applyFont="1" applyFill="1" applyBorder="1" applyAlignment="1" applyProtection="1">
      <alignment horizontal="right" vertical="center"/>
      <protection locked="0"/>
    </xf>
    <xf numFmtId="4" fontId="16" fillId="14" borderId="1" xfId="0" applyNumberFormat="1" applyFont="1" applyFill="1" applyBorder="1" applyAlignment="1" applyProtection="1">
      <alignment horizontal="right" vertical="center"/>
      <protection locked="0"/>
    </xf>
    <xf numFmtId="0" fontId="16" fillId="13" borderId="6" xfId="0" applyFont="1" applyFill="1" applyBorder="1" applyAlignment="1" applyProtection="1">
      <alignment horizontal="center" vertical="center"/>
      <protection locked="0"/>
    </xf>
    <xf numFmtId="169" fontId="17" fillId="33" borderId="1" xfId="1" applyNumberFormat="1" applyFont="1" applyFill="1" applyBorder="1" applyAlignment="1" applyProtection="1">
      <alignment horizontal="right" vertical="center" wrapText="1"/>
      <protection locked="0"/>
    </xf>
    <xf numFmtId="4" fontId="16" fillId="33" borderId="1" xfId="6" applyNumberFormat="1" applyFont="1" applyFill="1" applyBorder="1" applyAlignment="1" applyProtection="1">
      <alignment horizontal="right" vertical="center" wrapText="1"/>
      <protection locked="0"/>
    </xf>
    <xf numFmtId="4" fontId="17" fillId="33" borderId="1" xfId="6" applyNumberFormat="1" applyFont="1" applyFill="1" applyBorder="1" applyAlignment="1" applyProtection="1">
      <alignment horizontal="right" vertical="center" wrapText="1"/>
      <protection locked="0"/>
    </xf>
    <xf numFmtId="0" fontId="17" fillId="33" borderId="1" xfId="0" applyFont="1" applyFill="1" applyBorder="1" applyAlignment="1" applyProtection="1">
      <alignment vertical="center" wrapText="1"/>
      <protection locked="0"/>
    </xf>
    <xf numFmtId="4" fontId="32" fillId="33" borderId="1" xfId="6" applyNumberFormat="1" applyFont="1" applyFill="1" applyBorder="1" applyAlignment="1" applyProtection="1">
      <alignment horizontal="right" vertical="center" wrapText="1"/>
      <protection locked="0"/>
    </xf>
    <xf numFmtId="4" fontId="16" fillId="27" borderId="1" xfId="6" applyNumberFormat="1" applyFont="1" applyFill="1" applyBorder="1" applyAlignment="1" applyProtection="1">
      <alignment horizontal="right" vertical="center" wrapText="1"/>
      <protection locked="0"/>
    </xf>
    <xf numFmtId="0" fontId="16" fillId="10" borderId="1" xfId="0" applyFont="1" applyFill="1" applyBorder="1" applyAlignment="1" applyProtection="1">
      <alignment vertical="center" wrapText="1"/>
      <protection locked="0"/>
    </xf>
    <xf numFmtId="169" fontId="16" fillId="33" borderId="1" xfId="1" applyNumberFormat="1" applyFont="1" applyFill="1" applyBorder="1" applyProtection="1">
      <protection locked="0"/>
    </xf>
    <xf numFmtId="4" fontId="17" fillId="13" borderId="1" xfId="1" applyNumberFormat="1" applyFont="1" applyFill="1" applyBorder="1" applyAlignment="1" applyProtection="1">
      <alignment horizontal="right" vertical="center" wrapText="1"/>
      <protection locked="0"/>
    </xf>
    <xf numFmtId="4" fontId="17" fillId="3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Protection="1">
      <protection locked="0"/>
    </xf>
    <xf numFmtId="4" fontId="17" fillId="13" borderId="1" xfId="1" applyNumberFormat="1" applyFont="1" applyFill="1" applyBorder="1" applyAlignment="1">
      <alignment horizontal="right" vertical="center" wrapText="1"/>
    </xf>
    <xf numFmtId="4" fontId="17" fillId="23" borderId="1" xfId="1" applyNumberFormat="1" applyFont="1" applyFill="1" applyBorder="1" applyAlignment="1" applyProtection="1">
      <alignment horizontal="right" vertical="center" wrapText="1"/>
      <protection locked="0"/>
    </xf>
    <xf numFmtId="167" fontId="21" fillId="8" borderId="1" xfId="6" applyNumberFormat="1" applyFont="1" applyFill="1" applyBorder="1" applyAlignment="1" applyProtection="1">
      <alignment horizontal="center" vertical="center" wrapText="1"/>
      <protection locked="0"/>
    </xf>
    <xf numFmtId="169" fontId="17" fillId="27" borderId="1" xfId="1" applyNumberFormat="1" applyFont="1" applyFill="1" applyBorder="1" applyAlignment="1" applyProtection="1">
      <alignment horizontal="right" vertical="center" wrapText="1"/>
      <protection locked="0"/>
    </xf>
    <xf numFmtId="4" fontId="16" fillId="0" borderId="0" xfId="0" applyNumberFormat="1" applyFont="1" applyFill="1" applyProtection="1">
      <protection locked="0"/>
    </xf>
    <xf numFmtId="41" fontId="0" fillId="0" borderId="0" xfId="1" applyFont="1" applyFill="1" applyBorder="1"/>
    <xf numFmtId="168" fontId="21" fillId="8" borderId="1" xfId="0" applyNumberFormat="1" applyFont="1" applyFill="1" applyBorder="1" applyAlignment="1" applyProtection="1">
      <alignment horizontal="center" vertical="center"/>
      <protection locked="0"/>
    </xf>
    <xf numFmtId="169" fontId="17" fillId="28" borderId="1" xfId="1" applyNumberFormat="1" applyFont="1" applyFill="1" applyBorder="1" applyAlignment="1" applyProtection="1">
      <alignment horizontal="right" vertical="center" wrapText="1"/>
      <protection locked="0"/>
    </xf>
    <xf numFmtId="41" fontId="0" fillId="0" borderId="0" xfId="0" applyNumberFormat="1"/>
    <xf numFmtId="0" fontId="17" fillId="28" borderId="1" xfId="0" applyFont="1" applyFill="1" applyBorder="1" applyAlignment="1" applyProtection="1">
      <alignment vertical="center" wrapText="1"/>
      <protection locked="0"/>
    </xf>
    <xf numFmtId="0" fontId="16" fillId="28" borderId="1" xfId="0" applyFont="1" applyFill="1" applyBorder="1" applyAlignment="1" applyProtection="1">
      <alignment vertical="center" wrapText="1"/>
      <protection locked="0"/>
    </xf>
    <xf numFmtId="167" fontId="17" fillId="28" borderId="1" xfId="6" applyNumberFormat="1" applyFont="1" applyFill="1" applyBorder="1" applyAlignment="1" applyProtection="1">
      <alignment horizontal="center" vertical="center" wrapText="1"/>
      <protection locked="0"/>
    </xf>
    <xf numFmtId="4" fontId="16" fillId="28" borderId="1" xfId="6" applyNumberFormat="1" applyFont="1" applyFill="1" applyBorder="1" applyAlignment="1" applyProtection="1">
      <alignment horizontal="right" vertical="center" wrapText="1"/>
      <protection locked="0"/>
    </xf>
    <xf numFmtId="4" fontId="16" fillId="35" borderId="1" xfId="1" applyNumberFormat="1" applyFont="1" applyFill="1" applyBorder="1" applyAlignment="1" applyProtection="1">
      <alignment horizontal="right" vertical="center" wrapText="1"/>
      <protection locked="0"/>
    </xf>
    <xf numFmtId="0" fontId="16" fillId="13" borderId="6" xfId="0" applyFont="1" applyFill="1" applyBorder="1" applyAlignment="1" applyProtection="1">
      <alignment horizontal="center" vertical="center"/>
      <protection locked="0"/>
    </xf>
    <xf numFmtId="41" fontId="0" fillId="13" borderId="1" xfId="1" applyFont="1" applyFill="1" applyBorder="1"/>
    <xf numFmtId="0" fontId="0" fillId="13" borderId="1" xfId="0" applyFill="1" applyBorder="1" applyAlignment="1">
      <alignment horizontal="center"/>
    </xf>
    <xf numFmtId="4" fontId="17" fillId="36" borderId="1" xfId="6" applyNumberFormat="1" applyFont="1" applyFill="1" applyBorder="1" applyAlignment="1" applyProtection="1">
      <alignment horizontal="right" vertical="center" wrapText="1"/>
      <protection locked="0"/>
    </xf>
    <xf numFmtId="169" fontId="17" fillId="30" borderId="1" xfId="1" applyNumberFormat="1" applyFont="1" applyFill="1" applyBorder="1" applyAlignment="1" applyProtection="1">
      <alignment horizontal="right" vertical="center" wrapText="1"/>
      <protection locked="0"/>
    </xf>
    <xf numFmtId="4" fontId="17" fillId="30" borderId="1" xfId="6" applyNumberFormat="1" applyFont="1" applyFill="1" applyBorder="1" applyAlignment="1" applyProtection="1">
      <alignment horizontal="right" vertical="center" wrapText="1"/>
      <protection locked="0"/>
    </xf>
    <xf numFmtId="169" fontId="16" fillId="30" borderId="1" xfId="1" applyNumberFormat="1" applyFont="1" applyFill="1" applyBorder="1" applyProtection="1">
      <protection locked="0"/>
    </xf>
    <xf numFmtId="169" fontId="16" fillId="30" borderId="1" xfId="1" applyNumberFormat="1" applyFont="1" applyFill="1" applyBorder="1" applyAlignment="1" applyProtection="1">
      <alignment horizontal="center" vertical="center"/>
      <protection locked="0"/>
    </xf>
    <xf numFmtId="169" fontId="16" fillId="30" borderId="1" xfId="0" applyNumberFormat="1" applyFont="1" applyFill="1" applyBorder="1" applyProtection="1">
      <protection locked="0"/>
    </xf>
    <xf numFmtId="4" fontId="17" fillId="30" borderId="1" xfId="6" applyNumberFormat="1" applyFont="1" applyFill="1" applyBorder="1" applyAlignment="1" applyProtection="1">
      <alignment horizontal="right" vertical="center" wrapText="1"/>
    </xf>
    <xf numFmtId="169" fontId="16" fillId="30" borderId="1" xfId="1" applyNumberFormat="1" applyFont="1" applyFill="1" applyBorder="1" applyAlignment="1" applyProtection="1">
      <alignment horizontal="right" vertical="center" wrapText="1"/>
      <protection locked="0"/>
    </xf>
    <xf numFmtId="4" fontId="17" fillId="30" borderId="1" xfId="1" applyNumberFormat="1" applyFont="1" applyFill="1" applyBorder="1" applyAlignment="1" applyProtection="1">
      <alignment horizontal="right" vertical="center" wrapText="1"/>
      <protection locked="0"/>
    </xf>
    <xf numFmtId="4" fontId="16" fillId="30" borderId="1" xfId="1" applyNumberFormat="1" applyFont="1" applyFill="1" applyBorder="1" applyProtection="1">
      <protection locked="0"/>
    </xf>
    <xf numFmtId="4" fontId="17" fillId="30" borderId="1" xfId="1" applyNumberFormat="1" applyFont="1" applyFill="1" applyBorder="1" applyAlignment="1">
      <alignment horizontal="right" vertical="center" wrapText="1"/>
    </xf>
    <xf numFmtId="4" fontId="16" fillId="30" borderId="1" xfId="0" applyNumberFormat="1" applyFont="1" applyFill="1" applyBorder="1" applyProtection="1">
      <protection locked="0"/>
    </xf>
    <xf numFmtId="4" fontId="17" fillId="30" borderId="1" xfId="6" applyNumberFormat="1" applyFont="1" applyFill="1" applyBorder="1" applyAlignment="1">
      <alignment horizontal="right" vertical="center" wrapText="1"/>
    </xf>
    <xf numFmtId="4" fontId="16" fillId="30" borderId="1" xfId="1" applyNumberFormat="1" applyFont="1" applyFill="1" applyBorder="1" applyAlignment="1" applyProtection="1">
      <alignment horizontal="right" vertical="center" wrapText="1"/>
      <protection locked="0"/>
    </xf>
    <xf numFmtId="17" fontId="2" fillId="7" borderId="1" xfId="2" applyNumberFormat="1" applyFont="1" applyFill="1" applyBorder="1" applyAlignment="1">
      <alignment horizontal="center" vertical="center" wrapText="1"/>
    </xf>
    <xf numFmtId="169" fontId="16" fillId="30" borderId="1" xfId="1" applyNumberFormat="1" applyFont="1" applyFill="1" applyBorder="1" applyAlignment="1" applyProtection="1">
      <alignment vertical="center"/>
      <protection locked="0"/>
    </xf>
    <xf numFmtId="0" fontId="16" fillId="13" borderId="10" xfId="0" applyFont="1" applyFill="1" applyBorder="1" applyAlignment="1" applyProtection="1">
      <alignment horizontal="center" vertical="center"/>
      <protection locked="0"/>
    </xf>
    <xf numFmtId="0" fontId="16" fillId="13" borderId="11" xfId="0" applyFont="1" applyFill="1" applyBorder="1" applyAlignment="1" applyProtection="1">
      <alignment horizontal="center" vertical="center"/>
      <protection locked="0"/>
    </xf>
    <xf numFmtId="0" fontId="16" fillId="13" borderId="6" xfId="0" applyFont="1" applyFill="1" applyBorder="1" applyAlignment="1" applyProtection="1">
      <alignment horizontal="center" vertical="center"/>
      <protection locked="0"/>
    </xf>
  </cellXfs>
  <cellStyles count="9">
    <cellStyle name="BodyStyle" xfId="4" xr:uid="{00000000-0005-0000-0000-000000000000}"/>
    <cellStyle name="Énfasis1" xfId="2" builtinId="29"/>
    <cellStyle name="HeaderStyle" xfId="3" xr:uid="{00000000-0005-0000-0000-000002000000}"/>
    <cellStyle name="Millares [0]" xfId="1" builtinId="6"/>
    <cellStyle name="Millares 2" xfId="6" xr:uid="{00000000-0005-0000-0000-000004000000}"/>
    <cellStyle name="Moneda [0]" xfId="7" builtinId="7"/>
    <cellStyle name="Normal" xfId="0" builtinId="0"/>
    <cellStyle name="Normal 2" xfId="5" xr:uid="{00000000-0005-0000-0000-000007000000}"/>
    <cellStyle name="Porcentaje" xfId="8" builtinId="5"/>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4%20-%20ICFE\35_Plan%20Anual%20Adquisiciones%202024_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4%20-%20ICFE\Plan%20Anual%20Adquisiciones%202024_Seguimien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5%20-%20ICFE\Anteproyecto%202025\Plan%20Anual%20Adquisiciones%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4%20-%20ICFE\38_Plan%20Anual%20Adquisiciones%202024_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4%20-%20ICFE\17_Plan%20Anual%20Adquisiciones%202024_V17%20en%20proces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3%20-%20ICFE\34.Plan%20Adquisiciones%202023%20ICF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23.131.133\Presupuesto\01.%20PRESUPUESTO_2023\2023\06.Plan%20de%20adquisiciones\29.Plan%20Adquisiciones%202023%20ICF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3\PAA%20&#193;reas\Plan%20Adquisiciones%202023%20ICFE%20-%20Proyectos%20de%20invers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3\PAA%20&#193;reas\Plan%20Adquisiciones%202023%20ICFE%20-%20Mantenimiento%20y%20Atenci&#243;n%20al%20usu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5"/>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B1:AJ378"/>
  <sheetViews>
    <sheetView showGridLines="0" tabSelected="1" topLeftCell="J6" zoomScale="80" zoomScaleNormal="80" workbookViewId="0">
      <pane ySplit="2" topLeftCell="A8" activePane="bottomLeft" state="frozen"/>
      <selection activeCell="B6" sqref="B6"/>
      <selection pane="bottomLeft" activeCell="M331" sqref="M331"/>
    </sheetView>
  </sheetViews>
  <sheetFormatPr baseColWidth="10" defaultColWidth="11.5703125" defaultRowHeight="15" x14ac:dyDescent="0.2"/>
  <cols>
    <col min="1" max="1" width="4.28515625" style="22" customWidth="1"/>
    <col min="2" max="2" width="13.140625" style="20" customWidth="1"/>
    <col min="3" max="3" width="12.5703125" style="20" customWidth="1"/>
    <col min="4" max="4" width="13.140625" style="20" customWidth="1"/>
    <col min="5" max="5" width="11" style="20" customWidth="1"/>
    <col min="6" max="6" width="11.7109375" style="20" customWidth="1"/>
    <col min="7" max="7" width="12.42578125" style="20" customWidth="1"/>
    <col min="8" max="8" width="9" style="20" customWidth="1"/>
    <col min="9" max="9" width="10.7109375" style="20" customWidth="1"/>
    <col min="10" max="10" width="9.7109375" style="20" customWidth="1"/>
    <col min="11" max="11" width="24.85546875" style="20" customWidth="1"/>
    <col min="12" max="12" width="16" style="20" customWidth="1"/>
    <col min="13" max="13" width="84.140625" style="24" bestFit="1" customWidth="1"/>
    <col min="14" max="14" width="16.85546875" style="301" customWidth="1"/>
    <col min="15" max="15" width="17.7109375" style="16" customWidth="1"/>
    <col min="16" max="16" width="17.28515625" style="17" customWidth="1"/>
    <col min="17" max="17" width="28.5703125" style="18" bestFit="1" customWidth="1"/>
    <col min="18" max="18" width="25" style="461" customWidth="1"/>
    <col min="19" max="19" width="29" style="464" customWidth="1"/>
    <col min="20" max="20" width="25.7109375" style="464" customWidth="1"/>
    <col min="21" max="21" width="22.28515625" style="20" customWidth="1"/>
    <col min="22" max="22" width="20.5703125" style="14" bestFit="1" customWidth="1"/>
    <col min="23" max="23" width="29.42578125" style="20" customWidth="1"/>
    <col min="24" max="36" width="29" style="464" customWidth="1"/>
    <col min="37" max="16384" width="11.5703125" style="22"/>
  </cols>
  <sheetData>
    <row r="1" spans="2:36" hidden="1" x14ac:dyDescent="0.2">
      <c r="B1" s="14"/>
      <c r="C1" s="14"/>
      <c r="D1" s="14"/>
      <c r="E1" s="14"/>
      <c r="F1" s="14"/>
      <c r="G1" s="14"/>
      <c r="H1" s="14"/>
      <c r="I1" s="14"/>
      <c r="J1" s="14"/>
      <c r="K1" s="14"/>
      <c r="L1" s="460"/>
      <c r="M1" s="14"/>
      <c r="N1" s="15"/>
    </row>
    <row r="2" spans="2:36" ht="15.75" hidden="1" x14ac:dyDescent="0.25">
      <c r="B2" s="23" t="s">
        <v>113414</v>
      </c>
      <c r="C2" s="14"/>
      <c r="D2" s="14"/>
      <c r="E2" s="14"/>
      <c r="F2" s="14"/>
      <c r="G2" s="14"/>
      <c r="H2" s="14"/>
      <c r="I2" s="14"/>
      <c r="J2" s="14"/>
      <c r="K2" s="14"/>
      <c r="L2" s="460"/>
      <c r="M2" s="14"/>
      <c r="N2" s="15"/>
    </row>
    <row r="3" spans="2:36" ht="15.75" hidden="1" x14ac:dyDescent="0.25">
      <c r="B3" s="23"/>
      <c r="C3" s="14"/>
      <c r="D3" s="14"/>
      <c r="E3" s="14"/>
      <c r="F3" s="14"/>
      <c r="G3" s="14"/>
      <c r="H3" s="14"/>
      <c r="I3" s="14"/>
      <c r="J3" s="14"/>
      <c r="K3" s="14"/>
      <c r="L3" s="460"/>
      <c r="M3" s="14"/>
      <c r="N3" s="15"/>
    </row>
    <row r="4" spans="2:36" ht="15.75" hidden="1" x14ac:dyDescent="0.25">
      <c r="B4" s="23" t="s">
        <v>112984</v>
      </c>
      <c r="C4" s="14"/>
      <c r="D4" s="14"/>
      <c r="E4" s="14"/>
      <c r="F4" s="14"/>
      <c r="G4" s="14"/>
      <c r="H4" s="14"/>
      <c r="I4" s="14"/>
      <c r="J4" s="14"/>
      <c r="K4" s="14"/>
      <c r="L4" s="460"/>
      <c r="N4" s="15"/>
    </row>
    <row r="5" spans="2:36" ht="18" hidden="1" x14ac:dyDescent="0.2">
      <c r="B5" s="14"/>
      <c r="C5" s="14"/>
      <c r="D5" s="14"/>
      <c r="E5" s="14"/>
      <c r="F5" s="14"/>
      <c r="G5" s="14"/>
      <c r="H5" s="14"/>
      <c r="I5" s="14"/>
      <c r="J5" s="14"/>
      <c r="K5" s="14"/>
      <c r="L5" s="460"/>
      <c r="M5" s="14"/>
      <c r="N5" s="15"/>
      <c r="S5" s="464" t="e">
        <f>S200-#REF!</f>
        <v>#REF!</v>
      </c>
      <c r="W5" s="394"/>
      <c r="X5" s="464" t="e">
        <f>X200-#REF!</f>
        <v>#REF!</v>
      </c>
      <c r="Y5" s="464" t="e">
        <f>Y200-#REF!</f>
        <v>#REF!</v>
      </c>
      <c r="Z5" s="464" t="e">
        <f>Z200-#REF!</f>
        <v>#REF!</v>
      </c>
      <c r="AA5" s="464" t="e">
        <f>AA200-#REF!</f>
        <v>#REF!</v>
      </c>
      <c r="AB5" s="464" t="e">
        <f>AB200-#REF!</f>
        <v>#REF!</v>
      </c>
      <c r="AC5" s="464" t="e">
        <f>AC200-#REF!</f>
        <v>#REF!</v>
      </c>
      <c r="AD5" s="464" t="e">
        <f>AD200-#REF!</f>
        <v>#REF!</v>
      </c>
      <c r="AE5" s="464" t="e">
        <f>AE200-#REF!</f>
        <v>#REF!</v>
      </c>
      <c r="AF5" s="464" t="e">
        <f>AF200-#REF!</f>
        <v>#REF!</v>
      </c>
      <c r="AG5" s="464" t="e">
        <f>AG200-#REF!</f>
        <v>#REF!</v>
      </c>
      <c r="AH5" s="464" t="e">
        <f>AH200-#REF!</f>
        <v>#REF!</v>
      </c>
      <c r="AI5" s="464" t="e">
        <f>AI200-#REF!</f>
        <v>#REF!</v>
      </c>
      <c r="AJ5" s="464" t="e">
        <f>AJ200-#REF!</f>
        <v>#REF!</v>
      </c>
    </row>
    <row r="6" spans="2:36" ht="60" x14ac:dyDescent="0.2">
      <c r="B6" s="25" t="s">
        <v>105498</v>
      </c>
      <c r="C6" s="25" t="s">
        <v>105499</v>
      </c>
      <c r="D6" s="25" t="s">
        <v>105500</v>
      </c>
      <c r="E6" s="25" t="s">
        <v>105501</v>
      </c>
      <c r="F6" s="25" t="s">
        <v>105502</v>
      </c>
      <c r="G6" s="25" t="s">
        <v>105503</v>
      </c>
      <c r="H6" s="25" t="s">
        <v>105504</v>
      </c>
      <c r="I6" s="25" t="s">
        <v>105505</v>
      </c>
      <c r="J6" s="25" t="s">
        <v>112985</v>
      </c>
      <c r="K6" s="26" t="s">
        <v>112986</v>
      </c>
      <c r="L6" s="27" t="s">
        <v>112987</v>
      </c>
      <c r="M6" s="28" t="s">
        <v>112988</v>
      </c>
      <c r="N6" s="28" t="s">
        <v>112989</v>
      </c>
      <c r="O6" s="29" t="s">
        <v>112990</v>
      </c>
      <c r="P6" s="28" t="s">
        <v>112991</v>
      </c>
      <c r="Q6" s="28" t="s">
        <v>112992</v>
      </c>
      <c r="R6" s="30" t="s">
        <v>113784</v>
      </c>
      <c r="S6" s="465" t="s">
        <v>113814</v>
      </c>
      <c r="T6" s="465" t="s">
        <v>113697</v>
      </c>
      <c r="U6" s="31" t="s">
        <v>113235</v>
      </c>
      <c r="V6" s="31" t="s">
        <v>113236</v>
      </c>
      <c r="W6" s="32" t="s">
        <v>112993</v>
      </c>
      <c r="X6" s="606">
        <v>45658</v>
      </c>
      <c r="Y6" s="606">
        <v>45689</v>
      </c>
      <c r="Z6" s="606">
        <v>45717</v>
      </c>
      <c r="AA6" s="606">
        <v>45748</v>
      </c>
      <c r="AB6" s="606">
        <v>45778</v>
      </c>
      <c r="AC6" s="606">
        <v>45809</v>
      </c>
      <c r="AD6" s="606">
        <v>45839</v>
      </c>
      <c r="AE6" s="606">
        <v>45870</v>
      </c>
      <c r="AF6" s="606">
        <v>45901</v>
      </c>
      <c r="AG6" s="606">
        <v>45931</v>
      </c>
      <c r="AH6" s="606">
        <v>45962</v>
      </c>
      <c r="AI6" s="606">
        <v>45992</v>
      </c>
      <c r="AJ6" s="606" t="s">
        <v>113816</v>
      </c>
    </row>
    <row r="7" spans="2:36" ht="15.75" x14ac:dyDescent="0.2">
      <c r="B7" s="33" t="s">
        <v>105516</v>
      </c>
      <c r="C7" s="33" t="s">
        <v>105573</v>
      </c>
      <c r="D7" s="33"/>
      <c r="E7" s="33"/>
      <c r="F7" s="33"/>
      <c r="G7" s="33"/>
      <c r="H7" s="33"/>
      <c r="I7" s="33"/>
      <c r="J7" s="411"/>
      <c r="K7" s="289"/>
      <c r="L7" s="35"/>
      <c r="M7" s="36" t="s">
        <v>112994</v>
      </c>
      <c r="N7" s="37" t="s">
        <v>112995</v>
      </c>
      <c r="O7" s="37" t="s">
        <v>112995</v>
      </c>
      <c r="P7" s="38"/>
      <c r="Q7" s="577"/>
      <c r="R7" s="39">
        <f t="shared" ref="R7:T7" si="0">+R8+R26</f>
        <v>4682480000</v>
      </c>
      <c r="S7" s="39">
        <f t="shared" si="0"/>
        <v>3349000000</v>
      </c>
      <c r="T7" s="39">
        <f t="shared" si="0"/>
        <v>1850000000</v>
      </c>
      <c r="U7" s="40"/>
      <c r="V7" s="41"/>
      <c r="W7" s="581"/>
      <c r="X7" s="39">
        <f t="shared" ref="X7:Y7" si="1">+X8+X26</f>
        <v>31200000</v>
      </c>
      <c r="Y7" s="39">
        <f t="shared" si="1"/>
        <v>66200000</v>
      </c>
      <c r="Z7" s="39">
        <f t="shared" ref="Z7:AC7" si="2">+Z8+Z26</f>
        <v>81700000</v>
      </c>
      <c r="AA7" s="39">
        <f t="shared" si="2"/>
        <v>89200000</v>
      </c>
      <c r="AB7" s="39">
        <f t="shared" si="2"/>
        <v>81700000</v>
      </c>
      <c r="AC7" s="39">
        <f t="shared" si="2"/>
        <v>221700000</v>
      </c>
      <c r="AD7" s="39">
        <f t="shared" ref="AD7:AI7" si="3">+AD8+AD26</f>
        <v>50500000</v>
      </c>
      <c r="AE7" s="39">
        <f t="shared" si="3"/>
        <v>40500000</v>
      </c>
      <c r="AF7" s="39">
        <f t="shared" si="3"/>
        <v>15500000</v>
      </c>
      <c r="AG7" s="39">
        <f t="shared" si="3"/>
        <v>15500000</v>
      </c>
      <c r="AH7" s="39">
        <f t="shared" si="3"/>
        <v>178000000</v>
      </c>
      <c r="AI7" s="39">
        <f t="shared" si="3"/>
        <v>15500000</v>
      </c>
      <c r="AJ7" s="39">
        <f>SUM(X7:AI7)-S7</f>
        <v>-2461800000</v>
      </c>
    </row>
    <row r="8" spans="2:36" s="53" customFormat="1" ht="15.75" x14ac:dyDescent="0.25">
      <c r="B8" s="43" t="s">
        <v>105516</v>
      </c>
      <c r="C8" s="43" t="s">
        <v>105573</v>
      </c>
      <c r="D8" s="43" t="s">
        <v>105520</v>
      </c>
      <c r="E8" s="43"/>
      <c r="F8" s="43"/>
      <c r="G8" s="43"/>
      <c r="H8" s="43"/>
      <c r="I8" s="43"/>
      <c r="J8" s="412"/>
      <c r="K8" s="437"/>
      <c r="L8" s="45"/>
      <c r="M8" s="46" t="s">
        <v>106083</v>
      </c>
      <c r="N8" s="47" t="s">
        <v>112995</v>
      </c>
      <c r="O8" s="47" t="s">
        <v>112995</v>
      </c>
      <c r="P8" s="48"/>
      <c r="Q8" s="48"/>
      <c r="R8" s="49">
        <f t="shared" ref="R8:T8" si="4">+R9</f>
        <v>520000000</v>
      </c>
      <c r="S8" s="49">
        <f t="shared" si="4"/>
        <v>340000000</v>
      </c>
      <c r="T8" s="49">
        <f t="shared" si="4"/>
        <v>100000000</v>
      </c>
      <c r="U8" s="50"/>
      <c r="V8" s="51"/>
      <c r="W8" s="396"/>
      <c r="X8" s="49">
        <f t="shared" ref="X8:AI8" si="5">+X9</f>
        <v>0</v>
      </c>
      <c r="Y8" s="49">
        <f t="shared" si="5"/>
        <v>0</v>
      </c>
      <c r="Z8" s="49">
        <f t="shared" si="5"/>
        <v>0</v>
      </c>
      <c r="AA8" s="49">
        <f t="shared" si="5"/>
        <v>0</v>
      </c>
      <c r="AB8" s="49">
        <f t="shared" si="5"/>
        <v>0</v>
      </c>
      <c r="AC8" s="49">
        <f t="shared" si="5"/>
        <v>45000000</v>
      </c>
      <c r="AD8" s="49">
        <f t="shared" si="5"/>
        <v>0</v>
      </c>
      <c r="AE8" s="49">
        <f t="shared" si="5"/>
        <v>0</v>
      </c>
      <c r="AF8" s="49">
        <f t="shared" si="5"/>
        <v>0</v>
      </c>
      <c r="AG8" s="49">
        <f t="shared" si="5"/>
        <v>0</v>
      </c>
      <c r="AH8" s="49">
        <f t="shared" si="5"/>
        <v>45000000</v>
      </c>
      <c r="AI8" s="49">
        <f t="shared" si="5"/>
        <v>0</v>
      </c>
      <c r="AJ8" s="49">
        <f t="shared" ref="AJ8:AJ11" si="6">SUM(X8:AI8)-S8</f>
        <v>-250000000</v>
      </c>
    </row>
    <row r="9" spans="2:36" x14ac:dyDescent="0.2">
      <c r="B9" s="54" t="s">
        <v>105516</v>
      </c>
      <c r="C9" s="54" t="s">
        <v>105573</v>
      </c>
      <c r="D9" s="54" t="s">
        <v>105520</v>
      </c>
      <c r="E9" s="54" t="s">
        <v>105520</v>
      </c>
      <c r="F9" s="54"/>
      <c r="G9" s="54"/>
      <c r="H9" s="54"/>
      <c r="I9" s="54"/>
      <c r="J9" s="413"/>
      <c r="K9" s="54"/>
      <c r="L9" s="55"/>
      <c r="M9" s="56" t="s">
        <v>106085</v>
      </c>
      <c r="N9" s="57" t="s">
        <v>112995</v>
      </c>
      <c r="O9" s="57" t="s">
        <v>112995</v>
      </c>
      <c r="P9" s="58"/>
      <c r="Q9" s="58"/>
      <c r="R9" s="59">
        <f t="shared" ref="R9:T9" si="7">+R10+R20</f>
        <v>520000000</v>
      </c>
      <c r="S9" s="59">
        <f t="shared" si="7"/>
        <v>340000000</v>
      </c>
      <c r="T9" s="59">
        <f t="shared" si="7"/>
        <v>100000000</v>
      </c>
      <c r="U9" s="60"/>
      <c r="V9" s="61"/>
      <c r="W9" s="54"/>
      <c r="X9" s="59">
        <f t="shared" ref="X9:Y9" si="8">+X10+X20</f>
        <v>0</v>
      </c>
      <c r="Y9" s="59">
        <f t="shared" si="8"/>
        <v>0</v>
      </c>
      <c r="Z9" s="59">
        <f t="shared" ref="Z9:AC9" si="9">+Z10+Z20</f>
        <v>0</v>
      </c>
      <c r="AA9" s="59">
        <f t="shared" si="9"/>
        <v>0</v>
      </c>
      <c r="AB9" s="59">
        <f t="shared" si="9"/>
        <v>0</v>
      </c>
      <c r="AC9" s="59">
        <f t="shared" si="9"/>
        <v>45000000</v>
      </c>
      <c r="AD9" s="59">
        <f t="shared" ref="AD9:AI9" si="10">+AD10+AD20</f>
        <v>0</v>
      </c>
      <c r="AE9" s="59">
        <f t="shared" si="10"/>
        <v>0</v>
      </c>
      <c r="AF9" s="59">
        <f t="shared" si="10"/>
        <v>0</v>
      </c>
      <c r="AG9" s="59">
        <f t="shared" si="10"/>
        <v>0</v>
      </c>
      <c r="AH9" s="59">
        <f t="shared" si="10"/>
        <v>45000000</v>
      </c>
      <c r="AI9" s="59">
        <f t="shared" si="10"/>
        <v>0</v>
      </c>
      <c r="AJ9" s="59">
        <f t="shared" si="6"/>
        <v>-250000000</v>
      </c>
    </row>
    <row r="10" spans="2:36" x14ac:dyDescent="0.2">
      <c r="B10" s="63" t="s">
        <v>105516</v>
      </c>
      <c r="C10" s="63" t="s">
        <v>105573</v>
      </c>
      <c r="D10" s="63" t="s">
        <v>105520</v>
      </c>
      <c r="E10" s="63" t="s">
        <v>105520</v>
      </c>
      <c r="F10" s="63" t="s">
        <v>105541</v>
      </c>
      <c r="G10" s="63"/>
      <c r="H10" s="63"/>
      <c r="I10" s="63"/>
      <c r="J10" s="414"/>
      <c r="K10" s="254"/>
      <c r="L10" s="65"/>
      <c r="M10" s="66" t="s">
        <v>106230</v>
      </c>
      <c r="N10" s="67" t="s">
        <v>112995</v>
      </c>
      <c r="O10" s="67" t="s">
        <v>112995</v>
      </c>
      <c r="P10" s="68"/>
      <c r="Q10" s="68"/>
      <c r="R10" s="69">
        <f t="shared" ref="R10:T10" si="11">+R11+R15</f>
        <v>520000000</v>
      </c>
      <c r="S10" s="69">
        <f t="shared" si="11"/>
        <v>340000000</v>
      </c>
      <c r="T10" s="69">
        <f t="shared" si="11"/>
        <v>100000000</v>
      </c>
      <c r="U10" s="70"/>
      <c r="V10" s="70"/>
      <c r="W10" s="254"/>
      <c r="X10" s="69">
        <f t="shared" ref="X10:Y10" si="12">+X11+X15</f>
        <v>0</v>
      </c>
      <c r="Y10" s="69">
        <f t="shared" si="12"/>
        <v>0</v>
      </c>
      <c r="Z10" s="69">
        <f t="shared" ref="Z10:AC10" si="13">+Z11+Z15</f>
        <v>0</v>
      </c>
      <c r="AA10" s="69">
        <f t="shared" si="13"/>
        <v>0</v>
      </c>
      <c r="AB10" s="69">
        <f t="shared" si="13"/>
        <v>0</v>
      </c>
      <c r="AC10" s="69">
        <f t="shared" si="13"/>
        <v>45000000</v>
      </c>
      <c r="AD10" s="69">
        <f t="shared" ref="AD10:AI10" si="14">+AD11+AD15</f>
        <v>0</v>
      </c>
      <c r="AE10" s="69">
        <f t="shared" si="14"/>
        <v>0</v>
      </c>
      <c r="AF10" s="69">
        <f t="shared" si="14"/>
        <v>0</v>
      </c>
      <c r="AG10" s="69">
        <f t="shared" si="14"/>
        <v>0</v>
      </c>
      <c r="AH10" s="69">
        <f t="shared" si="14"/>
        <v>45000000</v>
      </c>
      <c r="AI10" s="69">
        <f t="shared" si="14"/>
        <v>0</v>
      </c>
      <c r="AJ10" s="69">
        <f t="shared" si="6"/>
        <v>-250000000</v>
      </c>
    </row>
    <row r="11" spans="2:36" x14ac:dyDescent="0.2">
      <c r="B11" s="334" t="s">
        <v>105516</v>
      </c>
      <c r="C11" s="334" t="s">
        <v>105573</v>
      </c>
      <c r="D11" s="334" t="s">
        <v>105520</v>
      </c>
      <c r="E11" s="334" t="s">
        <v>105520</v>
      </c>
      <c r="F11" s="334" t="s">
        <v>105541</v>
      </c>
      <c r="G11" s="334" t="s">
        <v>105541</v>
      </c>
      <c r="H11" s="72"/>
      <c r="I11" s="72"/>
      <c r="J11" s="415"/>
      <c r="K11" s="72"/>
      <c r="L11" s="73"/>
      <c r="M11" s="74" t="s">
        <v>106246</v>
      </c>
      <c r="N11" s="75" t="s">
        <v>112995</v>
      </c>
      <c r="O11" s="75" t="s">
        <v>112995</v>
      </c>
      <c r="P11" s="76"/>
      <c r="Q11" s="76"/>
      <c r="R11" s="77">
        <f t="shared" ref="R11:T11" si="15">+R12</f>
        <v>120000000</v>
      </c>
      <c r="S11" s="77">
        <f t="shared" si="15"/>
        <v>100000000</v>
      </c>
      <c r="T11" s="77">
        <f t="shared" si="15"/>
        <v>0</v>
      </c>
      <c r="U11" s="78"/>
      <c r="V11" s="78"/>
      <c r="W11" s="72"/>
      <c r="X11" s="77">
        <f t="shared" ref="X11:AI11" si="16">+X12</f>
        <v>0</v>
      </c>
      <c r="Y11" s="77">
        <f t="shared" si="16"/>
        <v>0</v>
      </c>
      <c r="Z11" s="77">
        <f t="shared" si="16"/>
        <v>0</v>
      </c>
      <c r="AA11" s="77">
        <f t="shared" si="16"/>
        <v>0</v>
      </c>
      <c r="AB11" s="77">
        <f t="shared" si="16"/>
        <v>0</v>
      </c>
      <c r="AC11" s="77">
        <f t="shared" si="16"/>
        <v>0</v>
      </c>
      <c r="AD11" s="77">
        <f t="shared" si="16"/>
        <v>0</v>
      </c>
      <c r="AE11" s="77">
        <f t="shared" si="16"/>
        <v>0</v>
      </c>
      <c r="AF11" s="77">
        <f t="shared" si="16"/>
        <v>0</v>
      </c>
      <c r="AG11" s="77">
        <f t="shared" si="16"/>
        <v>0</v>
      </c>
      <c r="AH11" s="77">
        <f t="shared" si="16"/>
        <v>0</v>
      </c>
      <c r="AI11" s="77">
        <f t="shared" si="16"/>
        <v>0</v>
      </c>
      <c r="AJ11" s="77">
        <f t="shared" si="6"/>
        <v>-100000000</v>
      </c>
    </row>
    <row r="12" spans="2:36" x14ac:dyDescent="0.2">
      <c r="B12" s="80" t="s">
        <v>105516</v>
      </c>
      <c r="C12" s="80" t="s">
        <v>105573</v>
      </c>
      <c r="D12" s="80" t="s">
        <v>105520</v>
      </c>
      <c r="E12" s="80" t="s">
        <v>105520</v>
      </c>
      <c r="F12" s="80" t="s">
        <v>105541</v>
      </c>
      <c r="G12" s="80" t="s">
        <v>105541</v>
      </c>
      <c r="H12" s="81" t="s">
        <v>105573</v>
      </c>
      <c r="I12" s="80"/>
      <c r="J12" s="416"/>
      <c r="K12" s="80"/>
      <c r="L12" s="436"/>
      <c r="M12" s="82" t="s">
        <v>106250</v>
      </c>
      <c r="N12" s="83" t="s">
        <v>112995</v>
      </c>
      <c r="O12" s="83" t="s">
        <v>112995</v>
      </c>
      <c r="P12" s="84"/>
      <c r="Q12" s="84"/>
      <c r="R12" s="85">
        <f t="shared" ref="R12:T12" si="17">SUM(R13:R14)</f>
        <v>120000000</v>
      </c>
      <c r="S12" s="85">
        <f t="shared" si="17"/>
        <v>100000000</v>
      </c>
      <c r="T12" s="85">
        <f t="shared" si="17"/>
        <v>0</v>
      </c>
      <c r="U12" s="86"/>
      <c r="V12" s="86"/>
      <c r="W12" s="80"/>
      <c r="X12" s="85">
        <f t="shared" ref="X12:Y12" si="18">SUM(X13:X14)</f>
        <v>0</v>
      </c>
      <c r="Y12" s="85">
        <f t="shared" si="18"/>
        <v>0</v>
      </c>
      <c r="Z12" s="85">
        <f t="shared" ref="Z12:AC12" si="19">SUM(Z13:Z14)</f>
        <v>0</v>
      </c>
      <c r="AA12" s="85">
        <f t="shared" si="19"/>
        <v>0</v>
      </c>
      <c r="AB12" s="85">
        <f t="shared" si="19"/>
        <v>0</v>
      </c>
      <c r="AC12" s="85">
        <f t="shared" si="19"/>
        <v>0</v>
      </c>
      <c r="AD12" s="85">
        <f t="shared" ref="AD12:AI12" si="20">SUM(AD13:AD14)</f>
        <v>0</v>
      </c>
      <c r="AE12" s="85">
        <f t="shared" si="20"/>
        <v>0</v>
      </c>
      <c r="AF12" s="85">
        <f t="shared" si="20"/>
        <v>0</v>
      </c>
      <c r="AG12" s="85">
        <f t="shared" si="20"/>
        <v>0</v>
      </c>
      <c r="AH12" s="85">
        <f t="shared" si="20"/>
        <v>0</v>
      </c>
      <c r="AI12" s="85">
        <f t="shared" si="20"/>
        <v>0</v>
      </c>
      <c r="AJ12" s="593">
        <v>0</v>
      </c>
    </row>
    <row r="13" spans="2:36" ht="75" x14ac:dyDescent="0.2">
      <c r="B13" s="88"/>
      <c r="C13" s="89"/>
      <c r="D13" s="89"/>
      <c r="E13" s="89"/>
      <c r="F13" s="89"/>
      <c r="G13" s="89"/>
      <c r="H13" s="89"/>
      <c r="I13" s="89"/>
      <c r="J13" s="89"/>
      <c r="K13" s="96" t="s">
        <v>106245</v>
      </c>
      <c r="L13" s="91" t="s">
        <v>112996</v>
      </c>
      <c r="M13" s="92" t="s">
        <v>113521</v>
      </c>
      <c r="N13" s="93">
        <v>45672</v>
      </c>
      <c r="O13" s="93" t="s">
        <v>113060</v>
      </c>
      <c r="P13" s="94" t="s">
        <v>113045</v>
      </c>
      <c r="Q13" s="94" t="s">
        <v>112999</v>
      </c>
      <c r="R13" s="314">
        <v>120000000</v>
      </c>
      <c r="S13" s="472">
        <v>100000000</v>
      </c>
      <c r="T13" s="563">
        <v>0</v>
      </c>
      <c r="U13" s="96" t="s">
        <v>106081</v>
      </c>
      <c r="V13" s="97"/>
      <c r="W13" s="96" t="s">
        <v>113000</v>
      </c>
      <c r="X13" s="593"/>
      <c r="Y13" s="593"/>
      <c r="Z13" s="593"/>
      <c r="AA13" s="593"/>
      <c r="AB13" s="593"/>
      <c r="AC13" s="593"/>
      <c r="AD13" s="593"/>
      <c r="AE13" s="593"/>
      <c r="AF13" s="593"/>
      <c r="AG13" s="593"/>
      <c r="AH13" s="593"/>
      <c r="AI13" s="593"/>
      <c r="AJ13" s="593">
        <v>0</v>
      </c>
    </row>
    <row r="14" spans="2:36" ht="30" x14ac:dyDescent="0.2">
      <c r="B14" s="88"/>
      <c r="C14" s="89"/>
      <c r="D14" s="89"/>
      <c r="E14" s="89"/>
      <c r="F14" s="89"/>
      <c r="G14" s="89"/>
      <c r="H14" s="89"/>
      <c r="I14" s="89"/>
      <c r="J14" s="89"/>
      <c r="K14" s="96" t="s">
        <v>106245</v>
      </c>
      <c r="L14" s="91" t="s">
        <v>113336</v>
      </c>
      <c r="M14" s="100" t="s">
        <v>113239</v>
      </c>
      <c r="N14" s="93">
        <v>45474</v>
      </c>
      <c r="O14" s="93" t="s">
        <v>112997</v>
      </c>
      <c r="P14" s="94" t="s">
        <v>113155</v>
      </c>
      <c r="Q14" s="94" t="s">
        <v>113052</v>
      </c>
      <c r="R14" s="99"/>
      <c r="S14" s="472">
        <v>0</v>
      </c>
      <c r="T14" s="472">
        <v>0</v>
      </c>
      <c r="U14" s="96"/>
      <c r="V14" s="97"/>
      <c r="W14" s="96"/>
      <c r="X14" s="593"/>
      <c r="Y14" s="593"/>
      <c r="Z14" s="593"/>
      <c r="AA14" s="593"/>
      <c r="AB14" s="593"/>
      <c r="AC14" s="593"/>
      <c r="AD14" s="593"/>
      <c r="AE14" s="593"/>
      <c r="AF14" s="593"/>
      <c r="AG14" s="593"/>
      <c r="AH14" s="593"/>
      <c r="AI14" s="593"/>
      <c r="AJ14" s="593">
        <v>0</v>
      </c>
    </row>
    <row r="15" spans="2:36" x14ac:dyDescent="0.2">
      <c r="B15" s="334" t="s">
        <v>105516</v>
      </c>
      <c r="C15" s="334" t="s">
        <v>105573</v>
      </c>
      <c r="D15" s="334" t="s">
        <v>105520</v>
      </c>
      <c r="E15" s="334" t="s">
        <v>105520</v>
      </c>
      <c r="F15" s="334" t="s">
        <v>105541</v>
      </c>
      <c r="G15" s="334" t="s">
        <v>105544</v>
      </c>
      <c r="H15" s="72"/>
      <c r="I15" s="72"/>
      <c r="J15" s="415"/>
      <c r="K15" s="72"/>
      <c r="L15" s="73"/>
      <c r="M15" s="74" t="s">
        <v>106264</v>
      </c>
      <c r="N15" s="75" t="s">
        <v>112995</v>
      </c>
      <c r="O15" s="75" t="s">
        <v>112995</v>
      </c>
      <c r="P15" s="76" t="s">
        <v>112995</v>
      </c>
      <c r="Q15" s="76"/>
      <c r="R15" s="77">
        <f t="shared" ref="R15:T15" si="21">+R16</f>
        <v>400000000</v>
      </c>
      <c r="S15" s="77">
        <f t="shared" si="21"/>
        <v>240000000</v>
      </c>
      <c r="T15" s="77">
        <f t="shared" si="21"/>
        <v>100000000</v>
      </c>
      <c r="U15" s="78"/>
      <c r="V15" s="78"/>
      <c r="W15" s="72"/>
      <c r="X15" s="77">
        <f t="shared" ref="X15:AI15" si="22">+X16</f>
        <v>0</v>
      </c>
      <c r="Y15" s="77">
        <f t="shared" si="22"/>
        <v>0</v>
      </c>
      <c r="Z15" s="77">
        <f t="shared" si="22"/>
        <v>0</v>
      </c>
      <c r="AA15" s="77">
        <f t="shared" si="22"/>
        <v>0</v>
      </c>
      <c r="AB15" s="77">
        <f t="shared" si="22"/>
        <v>0</v>
      </c>
      <c r="AC15" s="77">
        <f t="shared" si="22"/>
        <v>45000000</v>
      </c>
      <c r="AD15" s="77">
        <f t="shared" si="22"/>
        <v>0</v>
      </c>
      <c r="AE15" s="77">
        <f t="shared" si="22"/>
        <v>0</v>
      </c>
      <c r="AF15" s="77">
        <f t="shared" si="22"/>
        <v>0</v>
      </c>
      <c r="AG15" s="77">
        <f t="shared" si="22"/>
        <v>0</v>
      </c>
      <c r="AH15" s="77">
        <f t="shared" si="22"/>
        <v>45000000</v>
      </c>
      <c r="AI15" s="77">
        <f t="shared" si="22"/>
        <v>0</v>
      </c>
      <c r="AJ15" s="593">
        <v>0</v>
      </c>
    </row>
    <row r="16" spans="2:36" ht="30" customHeight="1" x14ac:dyDescent="0.2">
      <c r="B16" s="80" t="s">
        <v>105516</v>
      </c>
      <c r="C16" s="80" t="s">
        <v>105573</v>
      </c>
      <c r="D16" s="80" t="s">
        <v>105520</v>
      </c>
      <c r="E16" s="80" t="s">
        <v>105520</v>
      </c>
      <c r="F16" s="80" t="s">
        <v>105541</v>
      </c>
      <c r="G16" s="80" t="s">
        <v>105544</v>
      </c>
      <c r="H16" s="80" t="s">
        <v>105573</v>
      </c>
      <c r="I16" s="80"/>
      <c r="J16" s="416"/>
      <c r="K16" s="80"/>
      <c r="L16" s="436"/>
      <c r="M16" s="82" t="s">
        <v>113005</v>
      </c>
      <c r="N16" s="83" t="s">
        <v>112995</v>
      </c>
      <c r="O16" s="83" t="s">
        <v>112995</v>
      </c>
      <c r="P16" s="84" t="s">
        <v>112995</v>
      </c>
      <c r="Q16" s="84"/>
      <c r="R16" s="85">
        <f t="shared" ref="R16:T16" si="23">SUM(R17:R19)</f>
        <v>400000000</v>
      </c>
      <c r="S16" s="85">
        <f t="shared" si="23"/>
        <v>240000000</v>
      </c>
      <c r="T16" s="85">
        <f t="shared" si="23"/>
        <v>100000000</v>
      </c>
      <c r="U16" s="86"/>
      <c r="V16" s="86"/>
      <c r="W16" s="341"/>
      <c r="X16" s="85">
        <f t="shared" ref="X16:Y16" si="24">SUM(X17:X19)</f>
        <v>0</v>
      </c>
      <c r="Y16" s="85">
        <f t="shared" si="24"/>
        <v>0</v>
      </c>
      <c r="Z16" s="85">
        <f t="shared" ref="Z16:AC16" si="25">SUM(Z17:Z19)</f>
        <v>0</v>
      </c>
      <c r="AA16" s="85">
        <f t="shared" si="25"/>
        <v>0</v>
      </c>
      <c r="AB16" s="85">
        <f t="shared" si="25"/>
        <v>0</v>
      </c>
      <c r="AC16" s="85">
        <f t="shared" si="25"/>
        <v>45000000</v>
      </c>
      <c r="AD16" s="85">
        <f t="shared" ref="AD16:AI16" si="26">SUM(AD17:AD19)</f>
        <v>0</v>
      </c>
      <c r="AE16" s="85">
        <f t="shared" si="26"/>
        <v>0</v>
      </c>
      <c r="AF16" s="85">
        <f t="shared" si="26"/>
        <v>0</v>
      </c>
      <c r="AG16" s="85">
        <f t="shared" si="26"/>
        <v>0</v>
      </c>
      <c r="AH16" s="85">
        <f t="shared" si="26"/>
        <v>45000000</v>
      </c>
      <c r="AI16" s="85">
        <f t="shared" si="26"/>
        <v>0</v>
      </c>
      <c r="AJ16" s="593">
        <v>0</v>
      </c>
    </row>
    <row r="17" spans="2:36" ht="30" x14ac:dyDescent="0.2">
      <c r="B17" s="88"/>
      <c r="C17" s="89"/>
      <c r="D17" s="89"/>
      <c r="E17" s="89"/>
      <c r="F17" s="89"/>
      <c r="G17" s="89"/>
      <c r="H17" s="89"/>
      <c r="I17" s="89"/>
      <c r="J17" s="89"/>
      <c r="K17" s="96" t="s">
        <v>106263</v>
      </c>
      <c r="L17" s="91" t="s">
        <v>113424</v>
      </c>
      <c r="M17" s="92" t="s">
        <v>113425</v>
      </c>
      <c r="N17" s="93">
        <v>45733</v>
      </c>
      <c r="O17" s="93" t="s">
        <v>113006</v>
      </c>
      <c r="P17" s="94" t="s">
        <v>113028</v>
      </c>
      <c r="Q17" s="94" t="s">
        <v>113008</v>
      </c>
      <c r="R17" s="314">
        <v>160000000</v>
      </c>
      <c r="S17" s="472">
        <v>0</v>
      </c>
      <c r="T17" s="472">
        <v>100000000</v>
      </c>
      <c r="U17" s="103"/>
      <c r="V17" s="104"/>
      <c r="W17" s="96" t="s">
        <v>113003</v>
      </c>
      <c r="X17" s="593"/>
      <c r="Y17" s="593"/>
      <c r="Z17" s="593"/>
      <c r="AA17" s="593"/>
      <c r="AB17" s="593"/>
      <c r="AC17" s="593"/>
      <c r="AD17" s="593"/>
      <c r="AE17" s="593"/>
      <c r="AF17" s="593"/>
      <c r="AG17" s="593"/>
      <c r="AH17" s="593"/>
      <c r="AI17" s="593"/>
      <c r="AJ17" s="593">
        <v>0</v>
      </c>
    </row>
    <row r="18" spans="2:36" ht="45" x14ac:dyDescent="0.2">
      <c r="B18" s="88"/>
      <c r="C18" s="89"/>
      <c r="D18" s="89"/>
      <c r="E18" s="89"/>
      <c r="F18" s="89"/>
      <c r="G18" s="89"/>
      <c r="H18" s="89"/>
      <c r="I18" s="89"/>
      <c r="J18" s="89"/>
      <c r="K18" s="96" t="s">
        <v>106263</v>
      </c>
      <c r="L18" s="91" t="s">
        <v>113422</v>
      </c>
      <c r="M18" s="92" t="s">
        <v>113423</v>
      </c>
      <c r="N18" s="93">
        <v>45719</v>
      </c>
      <c r="O18" s="93" t="s">
        <v>113006</v>
      </c>
      <c r="P18" s="94" t="s">
        <v>113040</v>
      </c>
      <c r="Q18" s="94" t="s">
        <v>112999</v>
      </c>
      <c r="R18" s="496">
        <v>90000000</v>
      </c>
      <c r="S18" s="472">
        <v>90000000</v>
      </c>
      <c r="T18" s="472">
        <v>0</v>
      </c>
      <c r="U18" s="103"/>
      <c r="V18" s="104"/>
      <c r="W18" s="96" t="s">
        <v>113003</v>
      </c>
      <c r="X18" s="593"/>
      <c r="Y18" s="593"/>
      <c r="Z18" s="593"/>
      <c r="AA18" s="593"/>
      <c r="AB18" s="593"/>
      <c r="AC18" s="593">
        <v>45000000</v>
      </c>
      <c r="AD18" s="593"/>
      <c r="AE18" s="593"/>
      <c r="AF18" s="593"/>
      <c r="AG18" s="593"/>
      <c r="AH18" s="593">
        <v>45000000</v>
      </c>
      <c r="AI18" s="593"/>
      <c r="AJ18" s="593">
        <v>0</v>
      </c>
    </row>
    <row r="19" spans="2:36" ht="45" x14ac:dyDescent="0.2">
      <c r="B19" s="88"/>
      <c r="C19" s="89"/>
      <c r="D19" s="89"/>
      <c r="E19" s="89"/>
      <c r="F19" s="89"/>
      <c r="G19" s="89"/>
      <c r="H19" s="89"/>
      <c r="I19" s="89"/>
      <c r="J19" s="89"/>
      <c r="K19" s="96" t="s">
        <v>106263</v>
      </c>
      <c r="L19" s="91">
        <v>43211500</v>
      </c>
      <c r="M19" s="102" t="s">
        <v>113426</v>
      </c>
      <c r="N19" s="93">
        <v>45733</v>
      </c>
      <c r="O19" s="93" t="s">
        <v>113006</v>
      </c>
      <c r="P19" s="94" t="s">
        <v>113028</v>
      </c>
      <c r="Q19" s="94" t="s">
        <v>112999</v>
      </c>
      <c r="R19" s="496">
        <v>150000000</v>
      </c>
      <c r="S19" s="472">
        <v>150000000</v>
      </c>
      <c r="T19" s="472">
        <v>0</v>
      </c>
      <c r="U19" s="103"/>
      <c r="V19" s="104"/>
      <c r="W19" s="96" t="s">
        <v>113003</v>
      </c>
      <c r="X19" s="593"/>
      <c r="Y19" s="593"/>
      <c r="Z19" s="593"/>
      <c r="AA19" s="593"/>
      <c r="AB19" s="593"/>
      <c r="AC19" s="593"/>
      <c r="AD19" s="593"/>
      <c r="AE19" s="593"/>
      <c r="AF19" s="593"/>
      <c r="AG19" s="593"/>
      <c r="AH19" s="593"/>
      <c r="AI19" s="593"/>
      <c r="AJ19" s="593">
        <v>0</v>
      </c>
    </row>
    <row r="20" spans="2:36" x14ac:dyDescent="0.2">
      <c r="B20" s="63" t="s">
        <v>105516</v>
      </c>
      <c r="C20" s="63" t="s">
        <v>105573</v>
      </c>
      <c r="D20" s="63" t="s">
        <v>105520</v>
      </c>
      <c r="E20" s="63" t="s">
        <v>105520</v>
      </c>
      <c r="F20" s="63" t="s">
        <v>105547</v>
      </c>
      <c r="G20" s="63"/>
      <c r="H20" s="63"/>
      <c r="I20" s="63"/>
      <c r="J20" s="414"/>
      <c r="K20" s="254"/>
      <c r="L20" s="65"/>
      <c r="M20" s="66" t="s">
        <v>106350</v>
      </c>
      <c r="N20" s="67"/>
      <c r="O20" s="67"/>
      <c r="P20" s="68"/>
      <c r="Q20" s="68"/>
      <c r="R20" s="69">
        <f t="shared" ref="R20:T24" si="27">+R21</f>
        <v>0</v>
      </c>
      <c r="S20" s="69">
        <f t="shared" si="27"/>
        <v>0</v>
      </c>
      <c r="T20" s="69">
        <f t="shared" si="27"/>
        <v>0</v>
      </c>
      <c r="U20" s="70"/>
      <c r="V20" s="70"/>
      <c r="W20" s="254"/>
      <c r="X20" s="69">
        <f t="shared" ref="X20:AI24" si="28">+X21</f>
        <v>0</v>
      </c>
      <c r="Y20" s="69">
        <f t="shared" si="28"/>
        <v>0</v>
      </c>
      <c r="Z20" s="69">
        <f t="shared" si="28"/>
        <v>0</v>
      </c>
      <c r="AA20" s="69">
        <f t="shared" si="28"/>
        <v>0</v>
      </c>
      <c r="AB20" s="69">
        <f t="shared" si="28"/>
        <v>0</v>
      </c>
      <c r="AC20" s="69">
        <f t="shared" si="28"/>
        <v>0</v>
      </c>
      <c r="AD20" s="69">
        <f t="shared" si="28"/>
        <v>0</v>
      </c>
      <c r="AE20" s="69">
        <f t="shared" si="28"/>
        <v>0</v>
      </c>
      <c r="AF20" s="69">
        <f t="shared" si="28"/>
        <v>0</v>
      </c>
      <c r="AG20" s="69">
        <f t="shared" si="28"/>
        <v>0</v>
      </c>
      <c r="AH20" s="69">
        <f t="shared" si="28"/>
        <v>0</v>
      </c>
      <c r="AI20" s="69">
        <f t="shared" si="28"/>
        <v>0</v>
      </c>
      <c r="AJ20" s="593">
        <v>0</v>
      </c>
    </row>
    <row r="21" spans="2:36" x14ac:dyDescent="0.2">
      <c r="B21" s="334" t="s">
        <v>105516</v>
      </c>
      <c r="C21" s="334" t="s">
        <v>105573</v>
      </c>
      <c r="D21" s="334" t="s">
        <v>105520</v>
      </c>
      <c r="E21" s="334" t="s">
        <v>105520</v>
      </c>
      <c r="F21" s="334" t="s">
        <v>105547</v>
      </c>
      <c r="G21" s="334" t="s">
        <v>105535</v>
      </c>
      <c r="H21" s="72"/>
      <c r="I21" s="72"/>
      <c r="J21" s="415"/>
      <c r="K21" s="72"/>
      <c r="L21" s="73"/>
      <c r="M21" s="74" t="s">
        <v>106388</v>
      </c>
      <c r="N21" s="75"/>
      <c r="O21" s="75"/>
      <c r="P21" s="76"/>
      <c r="Q21" s="76"/>
      <c r="R21" s="77">
        <f t="shared" si="27"/>
        <v>0</v>
      </c>
      <c r="S21" s="77">
        <f t="shared" si="27"/>
        <v>0</v>
      </c>
      <c r="T21" s="77">
        <f t="shared" si="27"/>
        <v>0</v>
      </c>
      <c r="U21" s="78"/>
      <c r="V21" s="78"/>
      <c r="W21" s="72"/>
      <c r="X21" s="77">
        <f t="shared" si="28"/>
        <v>0</v>
      </c>
      <c r="Y21" s="77">
        <f t="shared" si="28"/>
        <v>0</v>
      </c>
      <c r="Z21" s="77">
        <f t="shared" si="28"/>
        <v>0</v>
      </c>
      <c r="AA21" s="77">
        <f t="shared" si="28"/>
        <v>0</v>
      </c>
      <c r="AB21" s="77">
        <f t="shared" si="28"/>
        <v>0</v>
      </c>
      <c r="AC21" s="77">
        <f t="shared" si="28"/>
        <v>0</v>
      </c>
      <c r="AD21" s="77">
        <f t="shared" si="28"/>
        <v>0</v>
      </c>
      <c r="AE21" s="77">
        <f t="shared" si="28"/>
        <v>0</v>
      </c>
      <c r="AF21" s="77">
        <f t="shared" si="28"/>
        <v>0</v>
      </c>
      <c r="AG21" s="77">
        <f t="shared" si="28"/>
        <v>0</v>
      </c>
      <c r="AH21" s="77">
        <f t="shared" si="28"/>
        <v>0</v>
      </c>
      <c r="AI21" s="77">
        <f t="shared" si="28"/>
        <v>0</v>
      </c>
      <c r="AJ21" s="593">
        <v>0</v>
      </c>
    </row>
    <row r="22" spans="2:36" x14ac:dyDescent="0.2">
      <c r="B22" s="80" t="s">
        <v>105516</v>
      </c>
      <c r="C22" s="80" t="s">
        <v>105573</v>
      </c>
      <c r="D22" s="80" t="s">
        <v>105520</v>
      </c>
      <c r="E22" s="80" t="s">
        <v>105520</v>
      </c>
      <c r="F22" s="80" t="s">
        <v>105547</v>
      </c>
      <c r="G22" s="80" t="s">
        <v>105535</v>
      </c>
      <c r="H22" s="80" t="s">
        <v>105675</v>
      </c>
      <c r="I22" s="80"/>
      <c r="J22" s="416"/>
      <c r="K22" s="80"/>
      <c r="L22" s="436"/>
      <c r="M22" s="82" t="s">
        <v>106404</v>
      </c>
      <c r="N22" s="83"/>
      <c r="O22" s="83"/>
      <c r="P22" s="84"/>
      <c r="Q22" s="84"/>
      <c r="R22" s="85">
        <f t="shared" si="27"/>
        <v>0</v>
      </c>
      <c r="S22" s="85">
        <f t="shared" si="27"/>
        <v>0</v>
      </c>
      <c r="T22" s="85">
        <f t="shared" si="27"/>
        <v>0</v>
      </c>
      <c r="U22" s="86"/>
      <c r="V22" s="86"/>
      <c r="W22" s="341"/>
      <c r="X22" s="85">
        <f t="shared" si="28"/>
        <v>0</v>
      </c>
      <c r="Y22" s="85">
        <f t="shared" si="28"/>
        <v>0</v>
      </c>
      <c r="Z22" s="85">
        <f t="shared" si="28"/>
        <v>0</v>
      </c>
      <c r="AA22" s="85">
        <f t="shared" si="28"/>
        <v>0</v>
      </c>
      <c r="AB22" s="85">
        <f t="shared" si="28"/>
        <v>0</v>
      </c>
      <c r="AC22" s="85">
        <f t="shared" si="28"/>
        <v>0</v>
      </c>
      <c r="AD22" s="85">
        <f t="shared" si="28"/>
        <v>0</v>
      </c>
      <c r="AE22" s="85">
        <f t="shared" si="28"/>
        <v>0</v>
      </c>
      <c r="AF22" s="85">
        <f t="shared" si="28"/>
        <v>0</v>
      </c>
      <c r="AG22" s="85">
        <f t="shared" si="28"/>
        <v>0</v>
      </c>
      <c r="AH22" s="85">
        <f t="shared" si="28"/>
        <v>0</v>
      </c>
      <c r="AI22" s="85">
        <f t="shared" si="28"/>
        <v>0</v>
      </c>
      <c r="AJ22" s="593">
        <v>0</v>
      </c>
    </row>
    <row r="23" spans="2:36" x14ac:dyDescent="0.2">
      <c r="B23" s="80" t="s">
        <v>105516</v>
      </c>
      <c r="C23" s="80" t="s">
        <v>105573</v>
      </c>
      <c r="D23" s="80" t="s">
        <v>105520</v>
      </c>
      <c r="E23" s="80" t="s">
        <v>105520</v>
      </c>
      <c r="F23" s="80" t="s">
        <v>105547</v>
      </c>
      <c r="G23" s="80" t="s">
        <v>105535</v>
      </c>
      <c r="H23" s="80" t="s">
        <v>105675</v>
      </c>
      <c r="I23" s="80" t="s">
        <v>105576</v>
      </c>
      <c r="J23" s="416"/>
      <c r="K23" s="80"/>
      <c r="L23" s="436"/>
      <c r="M23" s="82" t="s">
        <v>106406</v>
      </c>
      <c r="N23" s="83"/>
      <c r="O23" s="83"/>
      <c r="P23" s="84"/>
      <c r="Q23" s="84"/>
      <c r="R23" s="85">
        <f t="shared" si="27"/>
        <v>0</v>
      </c>
      <c r="S23" s="85">
        <f t="shared" si="27"/>
        <v>0</v>
      </c>
      <c r="T23" s="85">
        <f t="shared" si="27"/>
        <v>0</v>
      </c>
      <c r="U23" s="86"/>
      <c r="V23" s="86"/>
      <c r="W23" s="341"/>
      <c r="X23" s="85">
        <f t="shared" si="28"/>
        <v>0</v>
      </c>
      <c r="Y23" s="85">
        <f t="shared" si="28"/>
        <v>0</v>
      </c>
      <c r="Z23" s="85">
        <f t="shared" si="28"/>
        <v>0</v>
      </c>
      <c r="AA23" s="85">
        <f t="shared" si="28"/>
        <v>0</v>
      </c>
      <c r="AB23" s="85">
        <f t="shared" si="28"/>
        <v>0</v>
      </c>
      <c r="AC23" s="85">
        <f t="shared" si="28"/>
        <v>0</v>
      </c>
      <c r="AD23" s="85">
        <f t="shared" si="28"/>
        <v>0</v>
      </c>
      <c r="AE23" s="85">
        <f t="shared" si="28"/>
        <v>0</v>
      </c>
      <c r="AF23" s="85">
        <f t="shared" si="28"/>
        <v>0</v>
      </c>
      <c r="AG23" s="85">
        <f t="shared" si="28"/>
        <v>0</v>
      </c>
      <c r="AH23" s="85">
        <f t="shared" si="28"/>
        <v>0</v>
      </c>
      <c r="AI23" s="85">
        <f t="shared" si="28"/>
        <v>0</v>
      </c>
      <c r="AJ23" s="593">
        <v>0</v>
      </c>
    </row>
    <row r="24" spans="2:36" x14ac:dyDescent="0.2">
      <c r="B24" s="80" t="s">
        <v>105516</v>
      </c>
      <c r="C24" s="80" t="s">
        <v>105573</v>
      </c>
      <c r="D24" s="80" t="s">
        <v>105520</v>
      </c>
      <c r="E24" s="80" t="s">
        <v>105520</v>
      </c>
      <c r="F24" s="80" t="s">
        <v>105547</v>
      </c>
      <c r="G24" s="80" t="s">
        <v>105535</v>
      </c>
      <c r="H24" s="80" t="s">
        <v>105675</v>
      </c>
      <c r="I24" s="80" t="s">
        <v>105576</v>
      </c>
      <c r="J24" s="416" t="s">
        <v>105520</v>
      </c>
      <c r="K24" s="80"/>
      <c r="L24" s="436"/>
      <c r="M24" s="82" t="s">
        <v>106408</v>
      </c>
      <c r="N24" s="83"/>
      <c r="O24" s="83"/>
      <c r="P24" s="84"/>
      <c r="Q24" s="84"/>
      <c r="R24" s="85">
        <f t="shared" si="27"/>
        <v>0</v>
      </c>
      <c r="S24" s="85">
        <f t="shared" si="27"/>
        <v>0</v>
      </c>
      <c r="T24" s="85">
        <f t="shared" si="27"/>
        <v>0</v>
      </c>
      <c r="U24" s="86"/>
      <c r="V24" s="86"/>
      <c r="W24" s="341"/>
      <c r="X24" s="85">
        <f t="shared" si="28"/>
        <v>0</v>
      </c>
      <c r="Y24" s="85">
        <f t="shared" si="28"/>
        <v>0</v>
      </c>
      <c r="Z24" s="85">
        <f t="shared" si="28"/>
        <v>0</v>
      </c>
      <c r="AA24" s="85">
        <f t="shared" si="28"/>
        <v>0</v>
      </c>
      <c r="AB24" s="85">
        <f t="shared" si="28"/>
        <v>0</v>
      </c>
      <c r="AC24" s="85">
        <f t="shared" si="28"/>
        <v>0</v>
      </c>
      <c r="AD24" s="85">
        <f t="shared" si="28"/>
        <v>0</v>
      </c>
      <c r="AE24" s="85">
        <f t="shared" si="28"/>
        <v>0</v>
      </c>
      <c r="AF24" s="85">
        <f t="shared" si="28"/>
        <v>0</v>
      </c>
      <c r="AG24" s="85">
        <f t="shared" si="28"/>
        <v>0</v>
      </c>
      <c r="AH24" s="85">
        <f t="shared" si="28"/>
        <v>0</v>
      </c>
      <c r="AI24" s="85">
        <f t="shared" si="28"/>
        <v>0</v>
      </c>
      <c r="AJ24" s="593">
        <v>0</v>
      </c>
    </row>
    <row r="25" spans="2:36" ht="93" customHeight="1" x14ac:dyDescent="0.2">
      <c r="B25" s="88"/>
      <c r="C25" s="89"/>
      <c r="D25" s="89"/>
      <c r="E25" s="89"/>
      <c r="F25" s="89"/>
      <c r="G25" s="89"/>
      <c r="H25" s="89"/>
      <c r="I25" s="89"/>
      <c r="J25" s="89"/>
      <c r="K25" s="96" t="s">
        <v>106387</v>
      </c>
      <c r="L25" s="55">
        <v>43231500</v>
      </c>
      <c r="M25" s="92" t="s">
        <v>113338</v>
      </c>
      <c r="N25" s="93">
        <v>45496</v>
      </c>
      <c r="O25" s="93" t="s">
        <v>112997</v>
      </c>
      <c r="P25" s="94" t="s">
        <v>113155</v>
      </c>
      <c r="Q25" s="94" t="s">
        <v>113053</v>
      </c>
      <c r="R25" s="95"/>
      <c r="S25" s="95">
        <v>0</v>
      </c>
      <c r="T25" s="95">
        <v>0</v>
      </c>
      <c r="U25" s="96"/>
      <c r="V25" s="97"/>
      <c r="W25" s="96"/>
      <c r="X25" s="594">
        <v>0</v>
      </c>
      <c r="Y25" s="594">
        <v>0</v>
      </c>
      <c r="Z25" s="594">
        <v>0</v>
      </c>
      <c r="AA25" s="594">
        <v>0</v>
      </c>
      <c r="AB25" s="594">
        <v>0</v>
      </c>
      <c r="AC25" s="594">
        <v>0</v>
      </c>
      <c r="AD25" s="594">
        <v>0</v>
      </c>
      <c r="AE25" s="594">
        <v>0</v>
      </c>
      <c r="AF25" s="594">
        <v>0</v>
      </c>
      <c r="AG25" s="594">
        <v>0</v>
      </c>
      <c r="AH25" s="594">
        <v>0</v>
      </c>
      <c r="AI25" s="594">
        <v>0</v>
      </c>
      <c r="AJ25" s="593">
        <v>0</v>
      </c>
    </row>
    <row r="26" spans="2:36" s="53" customFormat="1" ht="15.75" x14ac:dyDescent="0.25">
      <c r="B26" s="43" t="s">
        <v>105516</v>
      </c>
      <c r="C26" s="43" t="s">
        <v>105573</v>
      </c>
      <c r="D26" s="43" t="s">
        <v>105573</v>
      </c>
      <c r="E26" s="43"/>
      <c r="F26" s="43"/>
      <c r="G26" s="43"/>
      <c r="H26" s="43"/>
      <c r="I26" s="43"/>
      <c r="J26" s="412"/>
      <c r="K26" s="437"/>
      <c r="L26" s="45"/>
      <c r="M26" s="46" t="s">
        <v>106435</v>
      </c>
      <c r="N26" s="47"/>
      <c r="O26" s="47"/>
      <c r="P26" s="48"/>
      <c r="Q26" s="48"/>
      <c r="R26" s="49">
        <f>+R27+R97</f>
        <v>4162480000</v>
      </c>
      <c r="S26" s="49">
        <f>+S27+S97</f>
        <v>3009000000</v>
      </c>
      <c r="T26" s="49">
        <f>+T27+T97</f>
        <v>1750000000</v>
      </c>
      <c r="U26" s="50"/>
      <c r="V26" s="50"/>
      <c r="W26" s="396"/>
      <c r="X26" s="49">
        <f t="shared" ref="X26:AI26" si="29">+X27+X97</f>
        <v>31200000</v>
      </c>
      <c r="Y26" s="49">
        <f t="shared" si="29"/>
        <v>66200000</v>
      </c>
      <c r="Z26" s="49">
        <f t="shared" si="29"/>
        <v>81700000</v>
      </c>
      <c r="AA26" s="49">
        <f t="shared" si="29"/>
        <v>89200000</v>
      </c>
      <c r="AB26" s="49">
        <f t="shared" si="29"/>
        <v>81700000</v>
      </c>
      <c r="AC26" s="49">
        <f t="shared" si="29"/>
        <v>176700000</v>
      </c>
      <c r="AD26" s="49">
        <f t="shared" si="29"/>
        <v>50500000</v>
      </c>
      <c r="AE26" s="49">
        <f t="shared" si="29"/>
        <v>40500000</v>
      </c>
      <c r="AF26" s="49">
        <f t="shared" si="29"/>
        <v>15500000</v>
      </c>
      <c r="AG26" s="49">
        <f t="shared" si="29"/>
        <v>15500000</v>
      </c>
      <c r="AH26" s="49">
        <f t="shared" si="29"/>
        <v>133000000</v>
      </c>
      <c r="AI26" s="49">
        <f t="shared" si="29"/>
        <v>15500000</v>
      </c>
      <c r="AJ26" s="593">
        <v>0</v>
      </c>
    </row>
    <row r="27" spans="2:36" x14ac:dyDescent="0.2">
      <c r="B27" s="54" t="s">
        <v>105516</v>
      </c>
      <c r="C27" s="54" t="s">
        <v>105573</v>
      </c>
      <c r="D27" s="54" t="s">
        <v>105573</v>
      </c>
      <c r="E27" s="54" t="s">
        <v>105520</v>
      </c>
      <c r="F27" s="54"/>
      <c r="G27" s="54"/>
      <c r="H27" s="54"/>
      <c r="I27" s="54"/>
      <c r="J27" s="413"/>
      <c r="K27" s="54"/>
      <c r="L27" s="55"/>
      <c r="M27" s="56" t="s">
        <v>106437</v>
      </c>
      <c r="N27" s="57"/>
      <c r="O27" s="57"/>
      <c r="P27" s="58"/>
      <c r="Q27" s="58"/>
      <c r="R27" s="59">
        <f>+R28+R32+R45+R75</f>
        <v>1051200000</v>
      </c>
      <c r="S27" s="59">
        <f>+S28+S32+S45+S75</f>
        <v>434400000</v>
      </c>
      <c r="T27" s="59">
        <f>+T28+T32+T45+T75</f>
        <v>737000000</v>
      </c>
      <c r="U27" s="60"/>
      <c r="V27" s="60"/>
      <c r="W27" s="397"/>
      <c r="X27" s="59">
        <f t="shared" ref="X27:AI27" si="30">+X28+X32+X45+X75</f>
        <v>0</v>
      </c>
      <c r="Y27" s="59">
        <f t="shared" si="30"/>
        <v>0</v>
      </c>
      <c r="Z27" s="59">
        <f t="shared" si="30"/>
        <v>0</v>
      </c>
      <c r="AA27" s="59">
        <f t="shared" si="30"/>
        <v>0</v>
      </c>
      <c r="AB27" s="59">
        <f t="shared" si="30"/>
        <v>0</v>
      </c>
      <c r="AC27" s="59">
        <f t="shared" si="30"/>
        <v>10000000</v>
      </c>
      <c r="AD27" s="59">
        <f t="shared" si="30"/>
        <v>0</v>
      </c>
      <c r="AE27" s="59">
        <f t="shared" si="30"/>
        <v>0</v>
      </c>
      <c r="AF27" s="59">
        <f t="shared" si="30"/>
        <v>0</v>
      </c>
      <c r="AG27" s="59">
        <f t="shared" si="30"/>
        <v>0</v>
      </c>
      <c r="AH27" s="59">
        <f t="shared" si="30"/>
        <v>0</v>
      </c>
      <c r="AI27" s="59">
        <f t="shared" si="30"/>
        <v>0</v>
      </c>
      <c r="AJ27" s="593">
        <v>0</v>
      </c>
    </row>
    <row r="28" spans="2:36" x14ac:dyDescent="0.2">
      <c r="B28" s="63" t="s">
        <v>105516</v>
      </c>
      <c r="C28" s="63" t="s">
        <v>105573</v>
      </c>
      <c r="D28" s="63" t="s">
        <v>105573</v>
      </c>
      <c r="E28" s="63" t="s">
        <v>105520</v>
      </c>
      <c r="F28" s="63" t="s">
        <v>106438</v>
      </c>
      <c r="G28" s="63"/>
      <c r="H28" s="63"/>
      <c r="I28" s="63"/>
      <c r="J28" s="414"/>
      <c r="K28" s="254"/>
      <c r="L28" s="65"/>
      <c r="M28" s="66" t="s">
        <v>106440</v>
      </c>
      <c r="N28" s="67"/>
      <c r="O28" s="67"/>
      <c r="P28" s="68"/>
      <c r="Q28" s="68"/>
      <c r="R28" s="69">
        <f t="shared" ref="R28:T30" si="31">+R29</f>
        <v>5500000</v>
      </c>
      <c r="S28" s="69">
        <f t="shared" si="31"/>
        <v>5500000</v>
      </c>
      <c r="T28" s="69">
        <f t="shared" si="31"/>
        <v>0</v>
      </c>
      <c r="U28" s="70"/>
      <c r="V28" s="70"/>
      <c r="W28" s="254"/>
      <c r="X28" s="69">
        <f t="shared" ref="X28:AI30" si="32">+X29</f>
        <v>0</v>
      </c>
      <c r="Y28" s="69">
        <f t="shared" si="32"/>
        <v>0</v>
      </c>
      <c r="Z28" s="69">
        <f t="shared" si="32"/>
        <v>0</v>
      </c>
      <c r="AA28" s="69">
        <f t="shared" si="32"/>
        <v>0</v>
      </c>
      <c r="AB28" s="69">
        <f t="shared" si="32"/>
        <v>0</v>
      </c>
      <c r="AC28" s="69">
        <f t="shared" si="32"/>
        <v>0</v>
      </c>
      <c r="AD28" s="69">
        <f t="shared" si="32"/>
        <v>0</v>
      </c>
      <c r="AE28" s="69">
        <f t="shared" si="32"/>
        <v>0</v>
      </c>
      <c r="AF28" s="69">
        <f t="shared" si="32"/>
        <v>0</v>
      </c>
      <c r="AG28" s="69">
        <f t="shared" si="32"/>
        <v>0</v>
      </c>
      <c r="AH28" s="69">
        <f t="shared" si="32"/>
        <v>0</v>
      </c>
      <c r="AI28" s="69">
        <f t="shared" si="32"/>
        <v>0</v>
      </c>
      <c r="AJ28" s="593">
        <v>0</v>
      </c>
    </row>
    <row r="29" spans="2:36" x14ac:dyDescent="0.2">
      <c r="B29" s="334" t="s">
        <v>105516</v>
      </c>
      <c r="C29" s="334" t="s">
        <v>105573</v>
      </c>
      <c r="D29" s="334" t="s">
        <v>105573</v>
      </c>
      <c r="E29" s="334" t="s">
        <v>105520</v>
      </c>
      <c r="F29" s="334" t="s">
        <v>106438</v>
      </c>
      <c r="G29" s="334" t="s">
        <v>105528</v>
      </c>
      <c r="H29" s="72"/>
      <c r="I29" s="72"/>
      <c r="J29" s="415"/>
      <c r="K29" s="72"/>
      <c r="L29" s="73"/>
      <c r="M29" s="74" t="s">
        <v>106442</v>
      </c>
      <c r="N29" s="75"/>
      <c r="O29" s="75"/>
      <c r="P29" s="76"/>
      <c r="Q29" s="76"/>
      <c r="R29" s="77">
        <f t="shared" si="31"/>
        <v>5500000</v>
      </c>
      <c r="S29" s="77">
        <f t="shared" si="31"/>
        <v>5500000</v>
      </c>
      <c r="T29" s="77">
        <f t="shared" si="31"/>
        <v>0</v>
      </c>
      <c r="U29" s="78"/>
      <c r="V29" s="78"/>
      <c r="W29" s="72"/>
      <c r="X29" s="77">
        <f t="shared" si="32"/>
        <v>0</v>
      </c>
      <c r="Y29" s="77">
        <f t="shared" si="32"/>
        <v>0</v>
      </c>
      <c r="Z29" s="77">
        <f t="shared" si="32"/>
        <v>0</v>
      </c>
      <c r="AA29" s="77">
        <f t="shared" si="32"/>
        <v>0</v>
      </c>
      <c r="AB29" s="77">
        <f t="shared" si="32"/>
        <v>0</v>
      </c>
      <c r="AC29" s="77">
        <f t="shared" si="32"/>
        <v>0</v>
      </c>
      <c r="AD29" s="77">
        <f t="shared" si="32"/>
        <v>0</v>
      </c>
      <c r="AE29" s="77">
        <f t="shared" si="32"/>
        <v>0</v>
      </c>
      <c r="AF29" s="77">
        <f t="shared" si="32"/>
        <v>0</v>
      </c>
      <c r="AG29" s="77">
        <f t="shared" si="32"/>
        <v>0</v>
      </c>
      <c r="AH29" s="77">
        <f t="shared" si="32"/>
        <v>0</v>
      </c>
      <c r="AI29" s="77">
        <f t="shared" si="32"/>
        <v>0</v>
      </c>
      <c r="AJ29" s="593">
        <v>0</v>
      </c>
    </row>
    <row r="30" spans="2:36" x14ac:dyDescent="0.2">
      <c r="B30" s="106" t="s">
        <v>105516</v>
      </c>
      <c r="C30" s="106" t="s">
        <v>105573</v>
      </c>
      <c r="D30" s="106" t="s">
        <v>105573</v>
      </c>
      <c r="E30" s="106" t="s">
        <v>105520</v>
      </c>
      <c r="F30" s="106" t="s">
        <v>106438</v>
      </c>
      <c r="G30" s="106" t="s">
        <v>105528</v>
      </c>
      <c r="H30" s="106" t="s">
        <v>106100</v>
      </c>
      <c r="I30" s="106"/>
      <c r="J30" s="417"/>
      <c r="K30" s="122"/>
      <c r="L30" s="108"/>
      <c r="M30" s="303" t="s">
        <v>113217</v>
      </c>
      <c r="N30" s="110"/>
      <c r="O30" s="110"/>
      <c r="P30" s="111"/>
      <c r="Q30" s="111"/>
      <c r="R30" s="112">
        <f t="shared" si="31"/>
        <v>5500000</v>
      </c>
      <c r="S30" s="112">
        <f t="shared" si="31"/>
        <v>5500000</v>
      </c>
      <c r="T30" s="112">
        <f t="shared" si="31"/>
        <v>0</v>
      </c>
      <c r="U30" s="113"/>
      <c r="V30" s="113"/>
      <c r="W30" s="122"/>
      <c r="X30" s="112">
        <f t="shared" si="32"/>
        <v>0</v>
      </c>
      <c r="Y30" s="112">
        <f t="shared" si="32"/>
        <v>0</v>
      </c>
      <c r="Z30" s="112">
        <f t="shared" si="32"/>
        <v>0</v>
      </c>
      <c r="AA30" s="112">
        <f t="shared" si="32"/>
        <v>0</v>
      </c>
      <c r="AB30" s="112">
        <f t="shared" si="32"/>
        <v>0</v>
      </c>
      <c r="AC30" s="112">
        <f t="shared" si="32"/>
        <v>0</v>
      </c>
      <c r="AD30" s="112">
        <f t="shared" si="32"/>
        <v>0</v>
      </c>
      <c r="AE30" s="112">
        <f t="shared" si="32"/>
        <v>0</v>
      </c>
      <c r="AF30" s="112">
        <f t="shared" si="32"/>
        <v>0</v>
      </c>
      <c r="AG30" s="112">
        <f t="shared" si="32"/>
        <v>0</v>
      </c>
      <c r="AH30" s="112">
        <f t="shared" si="32"/>
        <v>0</v>
      </c>
      <c r="AI30" s="112">
        <f t="shared" si="32"/>
        <v>0</v>
      </c>
      <c r="AJ30" s="593">
        <v>0</v>
      </c>
    </row>
    <row r="31" spans="2:36" ht="30" x14ac:dyDescent="0.2">
      <c r="B31" s="115"/>
      <c r="C31" s="116"/>
      <c r="D31" s="116"/>
      <c r="E31" s="116"/>
      <c r="F31" s="116"/>
      <c r="G31" s="116"/>
      <c r="H31" s="116"/>
      <c r="I31" s="116"/>
      <c r="J31" s="116"/>
      <c r="K31" s="96" t="s">
        <v>106441</v>
      </c>
      <c r="L31" s="91">
        <v>50201700</v>
      </c>
      <c r="M31" s="102" t="s">
        <v>113741</v>
      </c>
      <c r="N31" s="93">
        <v>45731</v>
      </c>
      <c r="O31" s="93" t="s">
        <v>113006</v>
      </c>
      <c r="P31" s="94" t="s">
        <v>113040</v>
      </c>
      <c r="Q31" s="94" t="s">
        <v>113008</v>
      </c>
      <c r="R31" s="314">
        <v>5500000</v>
      </c>
      <c r="S31" s="472">
        <v>5500000</v>
      </c>
      <c r="T31" s="472">
        <v>0</v>
      </c>
      <c r="U31" s="96"/>
      <c r="V31" s="97"/>
      <c r="W31" s="398" t="s">
        <v>113012</v>
      </c>
      <c r="X31" s="593"/>
      <c r="Y31" s="593"/>
      <c r="Z31" s="593"/>
      <c r="AA31" s="593"/>
      <c r="AB31" s="593"/>
      <c r="AC31" s="593"/>
      <c r="AD31" s="593"/>
      <c r="AE31" s="593"/>
      <c r="AF31" s="593"/>
      <c r="AG31" s="593"/>
      <c r="AH31" s="593"/>
      <c r="AI31" s="593"/>
      <c r="AJ31" s="593">
        <v>0</v>
      </c>
    </row>
    <row r="32" spans="2:36" ht="30" x14ac:dyDescent="0.2">
      <c r="B32" s="63" t="s">
        <v>105516</v>
      </c>
      <c r="C32" s="63" t="s">
        <v>105573</v>
      </c>
      <c r="D32" s="63" t="s">
        <v>105573</v>
      </c>
      <c r="E32" s="63" t="s">
        <v>105520</v>
      </c>
      <c r="F32" s="63" t="s">
        <v>105535</v>
      </c>
      <c r="G32" s="63"/>
      <c r="H32" s="63"/>
      <c r="I32" s="63"/>
      <c r="J32" s="414"/>
      <c r="K32" s="254"/>
      <c r="L32" s="65"/>
      <c r="M32" s="66" t="s">
        <v>106527</v>
      </c>
      <c r="N32" s="67"/>
      <c r="O32" s="67"/>
      <c r="P32" s="68"/>
      <c r="Q32" s="68"/>
      <c r="R32" s="69">
        <f>+R33+R38+R42</f>
        <v>383900000</v>
      </c>
      <c r="S32" s="69">
        <f>+S33+S38+S42</f>
        <v>28900000</v>
      </c>
      <c r="T32" s="69">
        <f>+T33+T38+T42</f>
        <v>355000000</v>
      </c>
      <c r="U32" s="70"/>
      <c r="V32" s="70"/>
      <c r="W32" s="254"/>
      <c r="X32" s="69">
        <f t="shared" ref="X32:AI32" si="33">+X33+X38+X42</f>
        <v>0</v>
      </c>
      <c r="Y32" s="69">
        <f t="shared" si="33"/>
        <v>0</v>
      </c>
      <c r="Z32" s="69">
        <f t="shared" si="33"/>
        <v>0</v>
      </c>
      <c r="AA32" s="69">
        <f t="shared" si="33"/>
        <v>0</v>
      </c>
      <c r="AB32" s="69">
        <f t="shared" si="33"/>
        <v>0</v>
      </c>
      <c r="AC32" s="69">
        <f t="shared" si="33"/>
        <v>0</v>
      </c>
      <c r="AD32" s="69">
        <f t="shared" si="33"/>
        <v>0</v>
      </c>
      <c r="AE32" s="69">
        <f t="shared" si="33"/>
        <v>0</v>
      </c>
      <c r="AF32" s="69">
        <f t="shared" si="33"/>
        <v>0</v>
      </c>
      <c r="AG32" s="69">
        <f t="shared" si="33"/>
        <v>0</v>
      </c>
      <c r="AH32" s="69">
        <f t="shared" si="33"/>
        <v>0</v>
      </c>
      <c r="AI32" s="69">
        <f t="shared" si="33"/>
        <v>0</v>
      </c>
      <c r="AJ32" s="593">
        <v>0</v>
      </c>
    </row>
    <row r="33" spans="2:36" ht="30" x14ac:dyDescent="0.2">
      <c r="B33" s="334" t="s">
        <v>105516</v>
      </c>
      <c r="C33" s="334" t="s">
        <v>105573</v>
      </c>
      <c r="D33" s="334" t="s">
        <v>105573</v>
      </c>
      <c r="E33" s="334" t="s">
        <v>105520</v>
      </c>
      <c r="F33" s="334" t="s">
        <v>105535</v>
      </c>
      <c r="G33" s="334" t="s">
        <v>105538</v>
      </c>
      <c r="H33" s="72"/>
      <c r="I33" s="72"/>
      <c r="J33" s="415"/>
      <c r="K33" s="72"/>
      <c r="L33" s="73"/>
      <c r="M33" s="74" t="s">
        <v>106547</v>
      </c>
      <c r="N33" s="75"/>
      <c r="O33" s="75"/>
      <c r="P33" s="76"/>
      <c r="Q33" s="76"/>
      <c r="R33" s="77">
        <f t="shared" ref="R33:T33" si="34">+R34+R36</f>
        <v>20000000</v>
      </c>
      <c r="S33" s="77">
        <f t="shared" si="34"/>
        <v>20000000</v>
      </c>
      <c r="T33" s="77">
        <f t="shared" si="34"/>
        <v>0</v>
      </c>
      <c r="U33" s="78"/>
      <c r="V33" s="78"/>
      <c r="W33" s="72"/>
      <c r="X33" s="77">
        <f t="shared" ref="X33:Y33" si="35">+X34+X36</f>
        <v>0</v>
      </c>
      <c r="Y33" s="77">
        <f t="shared" si="35"/>
        <v>0</v>
      </c>
      <c r="Z33" s="77">
        <f t="shared" ref="Z33:AC33" si="36">+Z34+Z36</f>
        <v>0</v>
      </c>
      <c r="AA33" s="77">
        <f t="shared" si="36"/>
        <v>0</v>
      </c>
      <c r="AB33" s="77">
        <f t="shared" si="36"/>
        <v>0</v>
      </c>
      <c r="AC33" s="77">
        <f t="shared" si="36"/>
        <v>0</v>
      </c>
      <c r="AD33" s="77">
        <f t="shared" ref="AD33:AI33" si="37">+AD34+AD36</f>
        <v>0</v>
      </c>
      <c r="AE33" s="77">
        <f t="shared" si="37"/>
        <v>0</v>
      </c>
      <c r="AF33" s="77">
        <f t="shared" si="37"/>
        <v>0</v>
      </c>
      <c r="AG33" s="77">
        <f t="shared" si="37"/>
        <v>0</v>
      </c>
      <c r="AH33" s="77">
        <f t="shared" si="37"/>
        <v>0</v>
      </c>
      <c r="AI33" s="77">
        <f t="shared" si="37"/>
        <v>0</v>
      </c>
      <c r="AJ33" s="593">
        <v>0</v>
      </c>
    </row>
    <row r="34" spans="2:36" x14ac:dyDescent="0.2">
      <c r="B34" s="80" t="s">
        <v>105516</v>
      </c>
      <c r="C34" s="80" t="s">
        <v>105573</v>
      </c>
      <c r="D34" s="80" t="s">
        <v>105573</v>
      </c>
      <c r="E34" s="80" t="s">
        <v>105520</v>
      </c>
      <c r="F34" s="80" t="s">
        <v>105535</v>
      </c>
      <c r="G34" s="80" t="s">
        <v>105538</v>
      </c>
      <c r="H34" s="80" t="s">
        <v>105924</v>
      </c>
      <c r="I34" s="80"/>
      <c r="J34" s="416"/>
      <c r="K34" s="80"/>
      <c r="L34" s="436"/>
      <c r="M34" s="304" t="s">
        <v>113218</v>
      </c>
      <c r="N34" s="83"/>
      <c r="O34" s="83"/>
      <c r="P34" s="84"/>
      <c r="Q34" s="84"/>
      <c r="R34" s="85">
        <f t="shared" ref="R34:T34" si="38">+R35</f>
        <v>10000000</v>
      </c>
      <c r="S34" s="85">
        <f t="shared" si="38"/>
        <v>10000000</v>
      </c>
      <c r="T34" s="85">
        <f t="shared" si="38"/>
        <v>0</v>
      </c>
      <c r="U34" s="86"/>
      <c r="V34" s="86"/>
      <c r="W34" s="341"/>
      <c r="X34" s="85">
        <f t="shared" ref="X34:AI34" si="39">+X35</f>
        <v>0</v>
      </c>
      <c r="Y34" s="85">
        <f t="shared" si="39"/>
        <v>0</v>
      </c>
      <c r="Z34" s="85">
        <f t="shared" si="39"/>
        <v>0</v>
      </c>
      <c r="AA34" s="85">
        <f t="shared" si="39"/>
        <v>0</v>
      </c>
      <c r="AB34" s="85">
        <f t="shared" si="39"/>
        <v>0</v>
      </c>
      <c r="AC34" s="85">
        <f t="shared" si="39"/>
        <v>0</v>
      </c>
      <c r="AD34" s="85">
        <f t="shared" si="39"/>
        <v>0</v>
      </c>
      <c r="AE34" s="85">
        <f t="shared" si="39"/>
        <v>0</v>
      </c>
      <c r="AF34" s="85">
        <f t="shared" si="39"/>
        <v>0</v>
      </c>
      <c r="AG34" s="85">
        <f t="shared" si="39"/>
        <v>0</v>
      </c>
      <c r="AH34" s="85">
        <f t="shared" si="39"/>
        <v>0</v>
      </c>
      <c r="AI34" s="85">
        <f t="shared" si="39"/>
        <v>0</v>
      </c>
      <c r="AJ34" s="593">
        <v>0</v>
      </c>
    </row>
    <row r="35" spans="2:36" ht="30" x14ac:dyDescent="0.2">
      <c r="B35" s="88"/>
      <c r="C35" s="89"/>
      <c r="D35" s="89"/>
      <c r="E35" s="89"/>
      <c r="F35" s="89"/>
      <c r="G35" s="89"/>
      <c r="H35" s="89"/>
      <c r="I35" s="89"/>
      <c r="J35" s="89"/>
      <c r="K35" s="96" t="s">
        <v>106546</v>
      </c>
      <c r="L35" s="91">
        <v>50161500</v>
      </c>
      <c r="M35" s="102" t="s">
        <v>113742</v>
      </c>
      <c r="N35" s="93">
        <v>45731</v>
      </c>
      <c r="O35" s="93" t="s">
        <v>113006</v>
      </c>
      <c r="P35" s="94" t="s">
        <v>113040</v>
      </c>
      <c r="Q35" s="94" t="s">
        <v>113008</v>
      </c>
      <c r="R35" s="314">
        <v>10000000</v>
      </c>
      <c r="S35" s="472">
        <v>10000000</v>
      </c>
      <c r="T35" s="472">
        <v>0</v>
      </c>
      <c r="U35" s="96"/>
      <c r="V35" s="97"/>
      <c r="W35" s="398" t="s">
        <v>113012</v>
      </c>
      <c r="X35" s="593"/>
      <c r="Y35" s="593"/>
      <c r="Z35" s="593"/>
      <c r="AA35" s="593"/>
      <c r="AB35" s="593"/>
      <c r="AC35" s="593"/>
      <c r="AD35" s="593"/>
      <c r="AE35" s="593"/>
      <c r="AF35" s="593"/>
      <c r="AG35" s="593"/>
      <c r="AH35" s="593"/>
      <c r="AI35" s="593"/>
      <c r="AJ35" s="593">
        <v>0</v>
      </c>
    </row>
    <row r="36" spans="2:36" x14ac:dyDescent="0.2">
      <c r="B36" s="80" t="s">
        <v>105516</v>
      </c>
      <c r="C36" s="80" t="s">
        <v>105573</v>
      </c>
      <c r="D36" s="80" t="s">
        <v>105573</v>
      </c>
      <c r="E36" s="80" t="s">
        <v>105520</v>
      </c>
      <c r="F36" s="80" t="s">
        <v>105535</v>
      </c>
      <c r="G36" s="80" t="s">
        <v>105538</v>
      </c>
      <c r="H36" s="80" t="s">
        <v>106106</v>
      </c>
      <c r="I36" s="80"/>
      <c r="J36" s="416"/>
      <c r="K36" s="80"/>
      <c r="L36" s="436"/>
      <c r="M36" s="82" t="s">
        <v>106563</v>
      </c>
      <c r="N36" s="83"/>
      <c r="O36" s="83"/>
      <c r="P36" s="84"/>
      <c r="Q36" s="84"/>
      <c r="R36" s="85">
        <f t="shared" ref="R36:T36" si="40">+R37</f>
        <v>10000000</v>
      </c>
      <c r="S36" s="85">
        <f t="shared" si="40"/>
        <v>10000000</v>
      </c>
      <c r="T36" s="85">
        <f t="shared" si="40"/>
        <v>0</v>
      </c>
      <c r="U36" s="86"/>
      <c r="V36" s="86"/>
      <c r="W36" s="341"/>
      <c r="X36" s="85">
        <f t="shared" ref="X36:AI36" si="41">+X37</f>
        <v>0</v>
      </c>
      <c r="Y36" s="85">
        <f t="shared" si="41"/>
        <v>0</v>
      </c>
      <c r="Z36" s="85">
        <f t="shared" si="41"/>
        <v>0</v>
      </c>
      <c r="AA36" s="85">
        <f t="shared" si="41"/>
        <v>0</v>
      </c>
      <c r="AB36" s="85">
        <f t="shared" si="41"/>
        <v>0</v>
      </c>
      <c r="AC36" s="85">
        <f t="shared" si="41"/>
        <v>0</v>
      </c>
      <c r="AD36" s="85">
        <f t="shared" si="41"/>
        <v>0</v>
      </c>
      <c r="AE36" s="85">
        <f t="shared" si="41"/>
        <v>0</v>
      </c>
      <c r="AF36" s="85">
        <f t="shared" si="41"/>
        <v>0</v>
      </c>
      <c r="AG36" s="85">
        <f t="shared" si="41"/>
        <v>0</v>
      </c>
      <c r="AH36" s="85">
        <f t="shared" si="41"/>
        <v>0</v>
      </c>
      <c r="AI36" s="85">
        <f t="shared" si="41"/>
        <v>0</v>
      </c>
      <c r="AJ36" s="593">
        <v>0</v>
      </c>
    </row>
    <row r="37" spans="2:36" ht="30" x14ac:dyDescent="0.2">
      <c r="B37" s="88"/>
      <c r="C37" s="89"/>
      <c r="D37" s="89"/>
      <c r="E37" s="89"/>
      <c r="F37" s="89"/>
      <c r="G37" s="89"/>
      <c r="H37" s="89"/>
      <c r="I37" s="89"/>
      <c r="J37" s="89"/>
      <c r="K37" s="96" t="s">
        <v>106546</v>
      </c>
      <c r="L37" s="55">
        <v>50161500</v>
      </c>
      <c r="M37" s="102" t="s">
        <v>113743</v>
      </c>
      <c r="N37" s="93">
        <v>45731</v>
      </c>
      <c r="O37" s="93" t="s">
        <v>113006</v>
      </c>
      <c r="P37" s="94" t="s">
        <v>113040</v>
      </c>
      <c r="Q37" s="94" t="s">
        <v>113008</v>
      </c>
      <c r="R37" s="314">
        <v>10000000</v>
      </c>
      <c r="S37" s="472">
        <v>10000000</v>
      </c>
      <c r="T37" s="472">
        <v>0</v>
      </c>
      <c r="U37" s="96"/>
      <c r="V37" s="97"/>
      <c r="W37" s="398" t="s">
        <v>113012</v>
      </c>
      <c r="X37" s="593"/>
      <c r="Y37" s="593"/>
      <c r="Z37" s="593"/>
      <c r="AA37" s="593"/>
      <c r="AB37" s="593"/>
      <c r="AC37" s="593"/>
      <c r="AD37" s="593"/>
      <c r="AE37" s="593"/>
      <c r="AF37" s="593"/>
      <c r="AG37" s="593"/>
      <c r="AH37" s="593"/>
      <c r="AI37" s="593"/>
      <c r="AJ37" s="593">
        <v>0</v>
      </c>
    </row>
    <row r="38" spans="2:36" x14ac:dyDescent="0.2">
      <c r="B38" s="334" t="s">
        <v>105516</v>
      </c>
      <c r="C38" s="334" t="s">
        <v>105573</v>
      </c>
      <c r="D38" s="334" t="s">
        <v>105573</v>
      </c>
      <c r="E38" s="334" t="s">
        <v>105520</v>
      </c>
      <c r="F38" s="334" t="s">
        <v>105535</v>
      </c>
      <c r="G38" s="334" t="s">
        <v>105550</v>
      </c>
      <c r="H38" s="72"/>
      <c r="I38" s="72"/>
      <c r="J38" s="415"/>
      <c r="K38" s="72"/>
      <c r="L38" s="73"/>
      <c r="M38" s="74" t="s">
        <v>106581</v>
      </c>
      <c r="N38" s="75"/>
      <c r="O38" s="75"/>
      <c r="P38" s="76"/>
      <c r="Q38" s="76"/>
      <c r="R38" s="77">
        <f>SUM(R39:R41)</f>
        <v>63900000</v>
      </c>
      <c r="S38" s="77">
        <f>SUM(S39:S41)</f>
        <v>8900000</v>
      </c>
      <c r="T38" s="77">
        <f>SUM(T39:T41)</f>
        <v>55000000</v>
      </c>
      <c r="U38" s="78"/>
      <c r="V38" s="78"/>
      <c r="W38" s="72"/>
      <c r="X38" s="77">
        <f t="shared" ref="X38:AI38" si="42">SUM(X39:X41)</f>
        <v>0</v>
      </c>
      <c r="Y38" s="77">
        <f t="shared" si="42"/>
        <v>0</v>
      </c>
      <c r="Z38" s="77">
        <f t="shared" si="42"/>
        <v>0</v>
      </c>
      <c r="AA38" s="77">
        <f t="shared" si="42"/>
        <v>0</v>
      </c>
      <c r="AB38" s="77">
        <f t="shared" si="42"/>
        <v>0</v>
      </c>
      <c r="AC38" s="77">
        <f t="shared" si="42"/>
        <v>0</v>
      </c>
      <c r="AD38" s="77">
        <f t="shared" si="42"/>
        <v>0</v>
      </c>
      <c r="AE38" s="77">
        <f t="shared" si="42"/>
        <v>0</v>
      </c>
      <c r="AF38" s="77">
        <f t="shared" si="42"/>
        <v>0</v>
      </c>
      <c r="AG38" s="77">
        <f t="shared" si="42"/>
        <v>0</v>
      </c>
      <c r="AH38" s="77">
        <f t="shared" si="42"/>
        <v>0</v>
      </c>
      <c r="AI38" s="77">
        <f t="shared" si="42"/>
        <v>0</v>
      </c>
      <c r="AJ38" s="593">
        <v>0</v>
      </c>
    </row>
    <row r="39" spans="2:36" ht="30" x14ac:dyDescent="0.2">
      <c r="B39" s="88"/>
      <c r="C39" s="89"/>
      <c r="D39" s="89"/>
      <c r="E39" s="89"/>
      <c r="F39" s="89"/>
      <c r="G39" s="89"/>
      <c r="H39" s="89"/>
      <c r="I39" s="89"/>
      <c r="J39" s="89"/>
      <c r="K39" s="96" t="s">
        <v>106580</v>
      </c>
      <c r="L39" s="55">
        <v>14121500</v>
      </c>
      <c r="M39" s="102" t="s">
        <v>113744</v>
      </c>
      <c r="N39" s="93">
        <v>45731</v>
      </c>
      <c r="O39" s="93" t="s">
        <v>113006</v>
      </c>
      <c r="P39" s="94" t="s">
        <v>113040</v>
      </c>
      <c r="Q39" s="94" t="s">
        <v>113008</v>
      </c>
      <c r="R39" s="314">
        <v>900000</v>
      </c>
      <c r="S39" s="472">
        <v>900000</v>
      </c>
      <c r="T39" s="472">
        <v>0</v>
      </c>
      <c r="U39" s="96"/>
      <c r="V39" s="97"/>
      <c r="W39" s="398" t="s">
        <v>113012</v>
      </c>
      <c r="X39" s="593"/>
      <c r="Y39" s="593"/>
      <c r="Z39" s="593"/>
      <c r="AA39" s="593"/>
      <c r="AB39" s="593"/>
      <c r="AC39" s="593"/>
      <c r="AD39" s="593"/>
      <c r="AE39" s="593"/>
      <c r="AF39" s="593"/>
      <c r="AG39" s="593"/>
      <c r="AH39" s="593"/>
      <c r="AI39" s="593"/>
      <c r="AJ39" s="593">
        <v>0</v>
      </c>
    </row>
    <row r="40" spans="2:36" ht="60" x14ac:dyDescent="0.2">
      <c r="B40" s="88"/>
      <c r="C40" s="89"/>
      <c r="D40" s="89"/>
      <c r="E40" s="89"/>
      <c r="F40" s="89"/>
      <c r="G40" s="89"/>
      <c r="H40" s="89"/>
      <c r="I40" s="89"/>
      <c r="J40" s="89"/>
      <c r="K40" s="96" t="s">
        <v>106580</v>
      </c>
      <c r="L40" s="91" t="s">
        <v>113340</v>
      </c>
      <c r="M40" s="102" t="s">
        <v>113707</v>
      </c>
      <c r="N40" s="93">
        <v>45717</v>
      </c>
      <c r="O40" s="93" t="s">
        <v>113006</v>
      </c>
      <c r="P40" s="94" t="s">
        <v>113045</v>
      </c>
      <c r="Q40" s="94" t="s">
        <v>113052</v>
      </c>
      <c r="R40" s="314">
        <v>8000000</v>
      </c>
      <c r="S40" s="472">
        <v>8000000</v>
      </c>
      <c r="T40" s="472">
        <v>0</v>
      </c>
      <c r="U40" s="96"/>
      <c r="V40" s="97"/>
      <c r="W40" s="96" t="s">
        <v>113019</v>
      </c>
      <c r="X40" s="593"/>
      <c r="Y40" s="593"/>
      <c r="Z40" s="593"/>
      <c r="AA40" s="593"/>
      <c r="AB40" s="593"/>
      <c r="AC40" s="593"/>
      <c r="AD40" s="593"/>
      <c r="AE40" s="593"/>
      <c r="AF40" s="593"/>
      <c r="AG40" s="593"/>
      <c r="AH40" s="593"/>
      <c r="AI40" s="593"/>
      <c r="AJ40" s="593">
        <v>0</v>
      </c>
    </row>
    <row r="41" spans="2:36" ht="150" x14ac:dyDescent="0.2">
      <c r="B41" s="88"/>
      <c r="C41" s="89"/>
      <c r="D41" s="89"/>
      <c r="E41" s="89"/>
      <c r="F41" s="89"/>
      <c r="G41" s="89"/>
      <c r="H41" s="89"/>
      <c r="I41" s="89"/>
      <c r="J41" s="89"/>
      <c r="K41" s="96" t="s">
        <v>106580</v>
      </c>
      <c r="L41" s="91" t="s">
        <v>113241</v>
      </c>
      <c r="M41" s="102" t="s">
        <v>113708</v>
      </c>
      <c r="N41" s="440">
        <v>45839</v>
      </c>
      <c r="O41" s="441" t="s">
        <v>113010</v>
      </c>
      <c r="P41" s="441" t="s">
        <v>113155</v>
      </c>
      <c r="Q41" s="441" t="s">
        <v>112999</v>
      </c>
      <c r="R41" s="314">
        <v>55000000</v>
      </c>
      <c r="S41" s="472">
        <v>0</v>
      </c>
      <c r="T41" s="472">
        <v>55000000</v>
      </c>
      <c r="U41" s="96"/>
      <c r="V41" s="97"/>
      <c r="W41" s="96" t="s">
        <v>113019</v>
      </c>
      <c r="X41" s="593"/>
      <c r="Y41" s="593"/>
      <c r="Z41" s="593"/>
      <c r="AA41" s="593"/>
      <c r="AB41" s="593"/>
      <c r="AC41" s="593"/>
      <c r="AD41" s="593"/>
      <c r="AE41" s="593"/>
      <c r="AF41" s="593"/>
      <c r="AG41" s="593"/>
      <c r="AH41" s="593"/>
      <c r="AI41" s="593"/>
      <c r="AJ41" s="593">
        <v>0</v>
      </c>
    </row>
    <row r="42" spans="2:36" x14ac:dyDescent="0.2">
      <c r="B42" s="334" t="s">
        <v>105516</v>
      </c>
      <c r="C42" s="334" t="s">
        <v>105573</v>
      </c>
      <c r="D42" s="334" t="s">
        <v>105573</v>
      </c>
      <c r="E42" s="334" t="s">
        <v>105520</v>
      </c>
      <c r="F42" s="334" t="s">
        <v>105535</v>
      </c>
      <c r="G42" s="334" t="s">
        <v>105553</v>
      </c>
      <c r="H42" s="72"/>
      <c r="I42" s="72"/>
      <c r="J42" s="415"/>
      <c r="K42" s="72"/>
      <c r="L42" s="73"/>
      <c r="M42" s="74" t="s">
        <v>106583</v>
      </c>
      <c r="N42" s="75"/>
      <c r="O42" s="75"/>
      <c r="P42" s="76"/>
      <c r="Q42" s="76"/>
      <c r="R42" s="77">
        <f t="shared" ref="R42:T42" si="43">SUM(R43:R44)</f>
        <v>300000000</v>
      </c>
      <c r="S42" s="77">
        <f t="shared" si="43"/>
        <v>0</v>
      </c>
      <c r="T42" s="77">
        <f t="shared" si="43"/>
        <v>300000000</v>
      </c>
      <c r="U42" s="78"/>
      <c r="V42" s="78"/>
      <c r="W42" s="72"/>
      <c r="X42" s="77">
        <f t="shared" ref="X42:Y42" si="44">SUM(X43:X44)</f>
        <v>0</v>
      </c>
      <c r="Y42" s="77">
        <f t="shared" si="44"/>
        <v>0</v>
      </c>
      <c r="Z42" s="77">
        <f t="shared" ref="Z42:AC42" si="45">SUM(Z43:Z44)</f>
        <v>0</v>
      </c>
      <c r="AA42" s="77">
        <f t="shared" si="45"/>
        <v>0</v>
      </c>
      <c r="AB42" s="77">
        <f t="shared" si="45"/>
        <v>0</v>
      </c>
      <c r="AC42" s="77">
        <f t="shared" si="45"/>
        <v>0</v>
      </c>
      <c r="AD42" s="77">
        <f t="shared" ref="AD42:AI42" si="46">SUM(AD43:AD44)</f>
        <v>0</v>
      </c>
      <c r="AE42" s="77">
        <f t="shared" si="46"/>
        <v>0</v>
      </c>
      <c r="AF42" s="77">
        <f t="shared" si="46"/>
        <v>0</v>
      </c>
      <c r="AG42" s="77">
        <f t="shared" si="46"/>
        <v>0</v>
      </c>
      <c r="AH42" s="77">
        <f t="shared" si="46"/>
        <v>0</v>
      </c>
      <c r="AI42" s="77">
        <f t="shared" si="46"/>
        <v>0</v>
      </c>
      <c r="AJ42" s="593">
        <v>0</v>
      </c>
    </row>
    <row r="43" spans="2:36" ht="45" x14ac:dyDescent="0.2">
      <c r="B43" s="88"/>
      <c r="C43" s="89"/>
      <c r="D43" s="89"/>
      <c r="E43" s="89"/>
      <c r="F43" s="89"/>
      <c r="G43" s="89"/>
      <c r="H43" s="89"/>
      <c r="I43" s="89"/>
      <c r="J43" s="89"/>
      <c r="K43" s="96" t="s">
        <v>106582</v>
      </c>
      <c r="L43" s="91" t="s">
        <v>113020</v>
      </c>
      <c r="M43" s="102" t="s">
        <v>113745</v>
      </c>
      <c r="N43" s="93">
        <v>45708</v>
      </c>
      <c r="O43" s="93" t="s">
        <v>113001</v>
      </c>
      <c r="P43" s="94" t="s">
        <v>113004</v>
      </c>
      <c r="Q43" s="94" t="s">
        <v>113038</v>
      </c>
      <c r="R43" s="314">
        <v>100000000</v>
      </c>
      <c r="S43" s="472">
        <v>0</v>
      </c>
      <c r="T43" s="563">
        <v>100000000</v>
      </c>
      <c r="U43" s="96"/>
      <c r="V43" s="97"/>
      <c r="W43" s="398" t="s">
        <v>113012</v>
      </c>
      <c r="X43" s="593"/>
      <c r="Y43" s="593"/>
      <c r="Z43" s="593"/>
      <c r="AA43" s="593"/>
      <c r="AB43" s="593"/>
      <c r="AC43" s="593"/>
      <c r="AD43" s="593"/>
      <c r="AE43" s="593"/>
      <c r="AF43" s="593"/>
      <c r="AG43" s="593"/>
      <c r="AH43" s="593"/>
      <c r="AI43" s="593"/>
      <c r="AJ43" s="593">
        <v>0</v>
      </c>
    </row>
    <row r="44" spans="2:36" ht="150" x14ac:dyDescent="0.2">
      <c r="B44" s="88"/>
      <c r="C44" s="89"/>
      <c r="D44" s="89"/>
      <c r="E44" s="89"/>
      <c r="F44" s="89"/>
      <c r="G44" s="89"/>
      <c r="H44" s="89"/>
      <c r="I44" s="89"/>
      <c r="J44" s="89"/>
      <c r="K44" s="96" t="s">
        <v>106582</v>
      </c>
      <c r="L44" s="91" t="s">
        <v>113241</v>
      </c>
      <c r="M44" s="102" t="s">
        <v>113709</v>
      </c>
      <c r="N44" s="440">
        <v>45839</v>
      </c>
      <c r="O44" s="441" t="s">
        <v>113010</v>
      </c>
      <c r="P44" s="441" t="s">
        <v>113155</v>
      </c>
      <c r="Q44" s="441" t="s">
        <v>112999</v>
      </c>
      <c r="R44" s="314">
        <v>200000000</v>
      </c>
      <c r="S44" s="472">
        <v>0</v>
      </c>
      <c r="T44" s="563">
        <v>200000000</v>
      </c>
      <c r="U44" s="96"/>
      <c r="V44" s="97"/>
      <c r="W44" s="96" t="s">
        <v>113019</v>
      </c>
      <c r="X44" s="593"/>
      <c r="Y44" s="593"/>
      <c r="Z44" s="593"/>
      <c r="AA44" s="593"/>
      <c r="AB44" s="593"/>
      <c r="AC44" s="593"/>
      <c r="AD44" s="593"/>
      <c r="AE44" s="593"/>
      <c r="AF44" s="593"/>
      <c r="AG44" s="593"/>
      <c r="AH44" s="593"/>
      <c r="AI44" s="593"/>
      <c r="AJ44" s="593">
        <v>0</v>
      </c>
    </row>
    <row r="45" spans="2:36" ht="30" x14ac:dyDescent="0.2">
      <c r="B45" s="63" t="s">
        <v>105516</v>
      </c>
      <c r="C45" s="63" t="s">
        <v>105573</v>
      </c>
      <c r="D45" s="63" t="s">
        <v>105573</v>
      </c>
      <c r="E45" s="63" t="s">
        <v>105520</v>
      </c>
      <c r="F45" s="63" t="s">
        <v>105538</v>
      </c>
      <c r="G45" s="63"/>
      <c r="H45" s="63"/>
      <c r="I45" s="63"/>
      <c r="J45" s="414"/>
      <c r="K45" s="254"/>
      <c r="L45" s="65"/>
      <c r="M45" s="66" t="s">
        <v>106589</v>
      </c>
      <c r="N45" s="67"/>
      <c r="O45" s="67"/>
      <c r="P45" s="68"/>
      <c r="Q45" s="68"/>
      <c r="R45" s="69">
        <f t="shared" ref="R45:T45" si="47">+R46+R52+R57+R62+R70</f>
        <v>334800000</v>
      </c>
      <c r="S45" s="69">
        <f t="shared" si="47"/>
        <v>190000000</v>
      </c>
      <c r="T45" s="69">
        <f t="shared" si="47"/>
        <v>135000000</v>
      </c>
      <c r="U45" s="70"/>
      <c r="V45" s="70"/>
      <c r="W45" s="254"/>
      <c r="X45" s="69">
        <f t="shared" ref="X45:Y45" si="48">+X46+X52+X57+X62+X70</f>
        <v>0</v>
      </c>
      <c r="Y45" s="69">
        <f t="shared" si="48"/>
        <v>0</v>
      </c>
      <c r="Z45" s="69">
        <f t="shared" ref="Z45:AC45" si="49">+Z46+Z52+Z57+Z62+Z70</f>
        <v>0</v>
      </c>
      <c r="AA45" s="69">
        <f t="shared" si="49"/>
        <v>0</v>
      </c>
      <c r="AB45" s="69">
        <f t="shared" si="49"/>
        <v>0</v>
      </c>
      <c r="AC45" s="69">
        <f t="shared" si="49"/>
        <v>0</v>
      </c>
      <c r="AD45" s="69">
        <f t="shared" ref="AD45:AI45" si="50">+AD46+AD52+AD57+AD62+AD70</f>
        <v>0</v>
      </c>
      <c r="AE45" s="69">
        <f t="shared" si="50"/>
        <v>0</v>
      </c>
      <c r="AF45" s="69">
        <f t="shared" si="50"/>
        <v>0</v>
      </c>
      <c r="AG45" s="69">
        <f t="shared" si="50"/>
        <v>0</v>
      </c>
      <c r="AH45" s="69">
        <f t="shared" si="50"/>
        <v>0</v>
      </c>
      <c r="AI45" s="69">
        <f t="shared" si="50"/>
        <v>0</v>
      </c>
      <c r="AJ45" s="593">
        <v>0</v>
      </c>
    </row>
    <row r="46" spans="2:36" ht="30" x14ac:dyDescent="0.2">
      <c r="B46" s="334" t="s">
        <v>105516</v>
      </c>
      <c r="C46" s="334" t="s">
        <v>105573</v>
      </c>
      <c r="D46" s="334" t="s">
        <v>105573</v>
      </c>
      <c r="E46" s="334" t="s">
        <v>105520</v>
      </c>
      <c r="F46" s="334" t="s">
        <v>105538</v>
      </c>
      <c r="G46" s="334" t="s">
        <v>105535</v>
      </c>
      <c r="H46" s="72"/>
      <c r="I46" s="72"/>
      <c r="J46" s="415"/>
      <c r="K46" s="72"/>
      <c r="L46" s="73"/>
      <c r="M46" s="305" t="s">
        <v>113232</v>
      </c>
      <c r="N46" s="75"/>
      <c r="O46" s="75"/>
      <c r="P46" s="76"/>
      <c r="Q46" s="76"/>
      <c r="R46" s="77">
        <f t="shared" ref="R46:T46" si="51">+R47+R50</f>
        <v>53000000</v>
      </c>
      <c r="S46" s="77">
        <f t="shared" si="51"/>
        <v>53000000</v>
      </c>
      <c r="T46" s="77">
        <f t="shared" si="51"/>
        <v>0</v>
      </c>
      <c r="U46" s="78"/>
      <c r="V46" s="78"/>
      <c r="W46" s="72"/>
      <c r="X46" s="77">
        <f t="shared" ref="X46:Y46" si="52">+X47+X50</f>
        <v>0</v>
      </c>
      <c r="Y46" s="77">
        <f t="shared" si="52"/>
        <v>0</v>
      </c>
      <c r="Z46" s="77">
        <f t="shared" ref="Z46:AC46" si="53">+Z47+Z50</f>
        <v>0</v>
      </c>
      <c r="AA46" s="77">
        <f t="shared" si="53"/>
        <v>0</v>
      </c>
      <c r="AB46" s="77">
        <f t="shared" si="53"/>
        <v>0</v>
      </c>
      <c r="AC46" s="77">
        <f t="shared" si="53"/>
        <v>0</v>
      </c>
      <c r="AD46" s="77">
        <f t="shared" ref="AD46:AI46" si="54">+AD47+AD50</f>
        <v>0</v>
      </c>
      <c r="AE46" s="77">
        <f t="shared" si="54"/>
        <v>0</v>
      </c>
      <c r="AF46" s="77">
        <f t="shared" si="54"/>
        <v>0</v>
      </c>
      <c r="AG46" s="77">
        <f t="shared" si="54"/>
        <v>0</v>
      </c>
      <c r="AH46" s="77">
        <f t="shared" si="54"/>
        <v>0</v>
      </c>
      <c r="AI46" s="77">
        <f t="shared" si="54"/>
        <v>0</v>
      </c>
      <c r="AJ46" s="593">
        <v>0</v>
      </c>
    </row>
    <row r="47" spans="2:36" x14ac:dyDescent="0.2">
      <c r="B47" s="80" t="s">
        <v>105516</v>
      </c>
      <c r="C47" s="80" t="s">
        <v>105573</v>
      </c>
      <c r="D47" s="80" t="s">
        <v>105573</v>
      </c>
      <c r="E47" s="80" t="s">
        <v>105520</v>
      </c>
      <c r="F47" s="80" t="s">
        <v>105538</v>
      </c>
      <c r="G47" s="80" t="s">
        <v>105535</v>
      </c>
      <c r="H47" s="80" t="s">
        <v>105520</v>
      </c>
      <c r="I47" s="80"/>
      <c r="J47" s="416"/>
      <c r="K47" s="80"/>
      <c r="L47" s="436"/>
      <c r="M47" s="82" t="s">
        <v>106595</v>
      </c>
      <c r="N47" s="83"/>
      <c r="O47" s="83"/>
      <c r="P47" s="84"/>
      <c r="Q47" s="84"/>
      <c r="R47" s="85">
        <f t="shared" ref="R47:T47" si="55">SUM(R48:R49)</f>
        <v>47500000</v>
      </c>
      <c r="S47" s="85">
        <f t="shared" si="55"/>
        <v>47500000</v>
      </c>
      <c r="T47" s="85">
        <f t="shared" si="55"/>
        <v>0</v>
      </c>
      <c r="U47" s="86"/>
      <c r="V47" s="86"/>
      <c r="W47" s="341"/>
      <c r="X47" s="85">
        <f t="shared" ref="X47:Y47" si="56">SUM(X48:X49)</f>
        <v>0</v>
      </c>
      <c r="Y47" s="85">
        <f t="shared" si="56"/>
        <v>0</v>
      </c>
      <c r="Z47" s="85">
        <f t="shared" ref="Z47:AC47" si="57">SUM(Z48:Z49)</f>
        <v>0</v>
      </c>
      <c r="AA47" s="85">
        <f t="shared" si="57"/>
        <v>0</v>
      </c>
      <c r="AB47" s="85">
        <f t="shared" si="57"/>
        <v>0</v>
      </c>
      <c r="AC47" s="85">
        <f t="shared" si="57"/>
        <v>0</v>
      </c>
      <c r="AD47" s="85">
        <f t="shared" ref="AD47:AI47" si="58">SUM(AD48:AD49)</f>
        <v>0</v>
      </c>
      <c r="AE47" s="85">
        <f t="shared" si="58"/>
        <v>0</v>
      </c>
      <c r="AF47" s="85">
        <f t="shared" si="58"/>
        <v>0</v>
      </c>
      <c r="AG47" s="85">
        <f t="shared" si="58"/>
        <v>0</v>
      </c>
      <c r="AH47" s="85">
        <f t="shared" si="58"/>
        <v>0</v>
      </c>
      <c r="AI47" s="85">
        <f t="shared" si="58"/>
        <v>0</v>
      </c>
      <c r="AJ47" s="593">
        <v>0</v>
      </c>
    </row>
    <row r="48" spans="2:36" ht="45" x14ac:dyDescent="0.2">
      <c r="B48" s="88"/>
      <c r="C48" s="89"/>
      <c r="D48" s="89"/>
      <c r="E48" s="89"/>
      <c r="F48" s="89"/>
      <c r="G48" s="89"/>
      <c r="H48" s="89"/>
      <c r="I48" s="89"/>
      <c r="J48" s="89"/>
      <c r="K48" s="96" t="s">
        <v>106592</v>
      </c>
      <c r="L48" s="91" t="s">
        <v>113024</v>
      </c>
      <c r="M48" s="102" t="s">
        <v>113746</v>
      </c>
      <c r="N48" s="93">
        <v>45731</v>
      </c>
      <c r="O48" s="93" t="s">
        <v>113006</v>
      </c>
      <c r="P48" s="94" t="s">
        <v>113040</v>
      </c>
      <c r="Q48" s="94" t="s">
        <v>113008</v>
      </c>
      <c r="R48" s="314">
        <v>17500000</v>
      </c>
      <c r="S48" s="472">
        <v>17500000</v>
      </c>
      <c r="T48" s="472">
        <v>0</v>
      </c>
      <c r="U48" s="96"/>
      <c r="V48" s="97"/>
      <c r="W48" s="398" t="s">
        <v>113012</v>
      </c>
      <c r="X48" s="593"/>
      <c r="Y48" s="593"/>
      <c r="Z48" s="593"/>
      <c r="AA48" s="593"/>
      <c r="AB48" s="593"/>
      <c r="AC48" s="593"/>
      <c r="AD48" s="593"/>
      <c r="AE48" s="593"/>
      <c r="AF48" s="593"/>
      <c r="AG48" s="593"/>
      <c r="AH48" s="593"/>
      <c r="AI48" s="593"/>
      <c r="AJ48" s="593">
        <v>0</v>
      </c>
    </row>
    <row r="49" spans="2:36" ht="180" x14ac:dyDescent="0.2">
      <c r="B49" s="88"/>
      <c r="C49" s="89"/>
      <c r="D49" s="89"/>
      <c r="E49" s="89"/>
      <c r="F49" s="89"/>
      <c r="G49" s="89"/>
      <c r="H49" s="89"/>
      <c r="I49" s="89"/>
      <c r="J49" s="89"/>
      <c r="K49" s="96" t="s">
        <v>106592</v>
      </c>
      <c r="L49" s="91" t="s">
        <v>113026</v>
      </c>
      <c r="M49" s="92" t="s">
        <v>113522</v>
      </c>
      <c r="N49" s="93">
        <v>45716</v>
      </c>
      <c r="O49" s="93" t="s">
        <v>113001</v>
      </c>
      <c r="P49" s="94" t="s">
        <v>113045</v>
      </c>
      <c r="Q49" s="94" t="s">
        <v>113008</v>
      </c>
      <c r="R49" s="497">
        <v>30000000</v>
      </c>
      <c r="S49" s="472">
        <v>30000000</v>
      </c>
      <c r="T49" s="472">
        <v>0</v>
      </c>
      <c r="U49" s="96" t="s">
        <v>106081</v>
      </c>
      <c r="V49" s="97"/>
      <c r="W49" s="96" t="s">
        <v>113029</v>
      </c>
      <c r="X49" s="593"/>
      <c r="Y49" s="593"/>
      <c r="Z49" s="593"/>
      <c r="AA49" s="593"/>
      <c r="AB49" s="593"/>
      <c r="AC49" s="593"/>
      <c r="AD49" s="593"/>
      <c r="AE49" s="593"/>
      <c r="AF49" s="593"/>
      <c r="AG49" s="593"/>
      <c r="AH49" s="593"/>
      <c r="AI49" s="593"/>
      <c r="AJ49" s="593">
        <v>0</v>
      </c>
    </row>
    <row r="50" spans="2:36" ht="30" x14ac:dyDescent="0.2">
      <c r="B50" s="80" t="s">
        <v>105516</v>
      </c>
      <c r="C50" s="80" t="s">
        <v>105573</v>
      </c>
      <c r="D50" s="80" t="s">
        <v>105573</v>
      </c>
      <c r="E50" s="80" t="s">
        <v>105520</v>
      </c>
      <c r="F50" s="80" t="s">
        <v>105538</v>
      </c>
      <c r="G50" s="80" t="s">
        <v>105535</v>
      </c>
      <c r="H50" s="80" t="s">
        <v>105917</v>
      </c>
      <c r="I50" s="80"/>
      <c r="J50" s="416"/>
      <c r="K50" s="80"/>
      <c r="L50" s="436"/>
      <c r="M50" s="304" t="s">
        <v>106601</v>
      </c>
      <c r="N50" s="83"/>
      <c r="O50" s="83"/>
      <c r="P50" s="84"/>
      <c r="Q50" s="84"/>
      <c r="R50" s="85">
        <f t="shared" ref="R50:T50" si="59">R51</f>
        <v>5500000</v>
      </c>
      <c r="S50" s="85">
        <f t="shared" si="59"/>
        <v>5500000</v>
      </c>
      <c r="T50" s="85">
        <f t="shared" si="59"/>
        <v>0</v>
      </c>
      <c r="U50" s="86"/>
      <c r="V50" s="86"/>
      <c r="W50" s="341"/>
      <c r="X50" s="85">
        <f t="shared" ref="X50:AI50" si="60">X51</f>
        <v>0</v>
      </c>
      <c r="Y50" s="85">
        <f t="shared" si="60"/>
        <v>0</v>
      </c>
      <c r="Z50" s="85">
        <f t="shared" si="60"/>
        <v>0</v>
      </c>
      <c r="AA50" s="85">
        <f t="shared" si="60"/>
        <v>0</v>
      </c>
      <c r="AB50" s="85">
        <f t="shared" si="60"/>
        <v>0</v>
      </c>
      <c r="AC50" s="85">
        <f t="shared" si="60"/>
        <v>0</v>
      </c>
      <c r="AD50" s="85">
        <f t="shared" si="60"/>
        <v>0</v>
      </c>
      <c r="AE50" s="85">
        <f t="shared" si="60"/>
        <v>0</v>
      </c>
      <c r="AF50" s="85">
        <f t="shared" si="60"/>
        <v>0</v>
      </c>
      <c r="AG50" s="85">
        <f t="shared" si="60"/>
        <v>0</v>
      </c>
      <c r="AH50" s="85">
        <f t="shared" si="60"/>
        <v>0</v>
      </c>
      <c r="AI50" s="85">
        <f t="shared" si="60"/>
        <v>0</v>
      </c>
      <c r="AJ50" s="593">
        <v>0</v>
      </c>
    </row>
    <row r="51" spans="2:36" x14ac:dyDescent="0.2">
      <c r="B51" s="88"/>
      <c r="C51" s="89"/>
      <c r="D51" s="89"/>
      <c r="E51" s="89"/>
      <c r="F51" s="89"/>
      <c r="G51" s="89"/>
      <c r="H51" s="89"/>
      <c r="I51" s="89"/>
      <c r="J51" s="89"/>
      <c r="K51" s="96" t="s">
        <v>106592</v>
      </c>
      <c r="L51" s="55"/>
      <c r="M51" s="92" t="s">
        <v>113030</v>
      </c>
      <c r="N51" s="93" t="s">
        <v>113031</v>
      </c>
      <c r="O51" s="93" t="s">
        <v>113031</v>
      </c>
      <c r="P51" s="93" t="s">
        <v>113031</v>
      </c>
      <c r="Q51" s="93" t="s">
        <v>113031</v>
      </c>
      <c r="R51" s="95">
        <v>5500000</v>
      </c>
      <c r="S51" s="95">
        <v>5500000</v>
      </c>
      <c r="T51" s="95">
        <v>0</v>
      </c>
      <c r="U51" s="96"/>
      <c r="V51" s="97"/>
      <c r="W51" s="96"/>
      <c r="X51" s="594"/>
      <c r="Y51" s="594"/>
      <c r="Z51" s="594"/>
      <c r="AA51" s="594"/>
      <c r="AB51" s="594"/>
      <c r="AC51" s="594"/>
      <c r="AD51" s="594"/>
      <c r="AE51" s="594"/>
      <c r="AF51" s="594"/>
      <c r="AG51" s="594"/>
      <c r="AH51" s="594"/>
      <c r="AI51" s="594"/>
      <c r="AJ51" s="593">
        <v>0</v>
      </c>
    </row>
    <row r="52" spans="2:36" ht="30" x14ac:dyDescent="0.2">
      <c r="B52" s="334" t="s">
        <v>105516</v>
      </c>
      <c r="C52" s="334" t="s">
        <v>105573</v>
      </c>
      <c r="D52" s="334" t="s">
        <v>105573</v>
      </c>
      <c r="E52" s="334" t="s">
        <v>105520</v>
      </c>
      <c r="F52" s="334" t="s">
        <v>105538</v>
      </c>
      <c r="G52" s="334" t="s">
        <v>105538</v>
      </c>
      <c r="H52" s="72"/>
      <c r="I52" s="72"/>
      <c r="J52" s="415"/>
      <c r="K52" s="72"/>
      <c r="L52" s="73"/>
      <c r="M52" s="305" t="s">
        <v>106611</v>
      </c>
      <c r="N52" s="75"/>
      <c r="O52" s="75"/>
      <c r="P52" s="76"/>
      <c r="Q52" s="76"/>
      <c r="R52" s="77">
        <f t="shared" ref="R52:T52" si="61">+R53+R55</f>
        <v>40000000</v>
      </c>
      <c r="S52" s="77">
        <f t="shared" si="61"/>
        <v>40000000</v>
      </c>
      <c r="T52" s="77">
        <f t="shared" si="61"/>
        <v>0</v>
      </c>
      <c r="U52" s="78"/>
      <c r="V52" s="78"/>
      <c r="W52" s="72"/>
      <c r="X52" s="77">
        <f t="shared" ref="X52:Y52" si="62">+X53+X55</f>
        <v>0</v>
      </c>
      <c r="Y52" s="77">
        <f t="shared" si="62"/>
        <v>0</v>
      </c>
      <c r="Z52" s="77">
        <f t="shared" ref="Z52:AC52" si="63">+Z53+Z55</f>
        <v>0</v>
      </c>
      <c r="AA52" s="77">
        <f t="shared" si="63"/>
        <v>0</v>
      </c>
      <c r="AB52" s="77">
        <f t="shared" si="63"/>
        <v>0</v>
      </c>
      <c r="AC52" s="77">
        <f t="shared" si="63"/>
        <v>0</v>
      </c>
      <c r="AD52" s="77">
        <f t="shared" ref="AD52:AI52" si="64">+AD53+AD55</f>
        <v>0</v>
      </c>
      <c r="AE52" s="77">
        <f t="shared" si="64"/>
        <v>0</v>
      </c>
      <c r="AF52" s="77">
        <f t="shared" si="64"/>
        <v>0</v>
      </c>
      <c r="AG52" s="77">
        <f t="shared" si="64"/>
        <v>0</v>
      </c>
      <c r="AH52" s="77">
        <f t="shared" si="64"/>
        <v>0</v>
      </c>
      <c r="AI52" s="77">
        <f t="shared" si="64"/>
        <v>0</v>
      </c>
      <c r="AJ52" s="593">
        <v>0</v>
      </c>
    </row>
    <row r="53" spans="2:36" ht="81.75" customHeight="1" x14ac:dyDescent="0.2">
      <c r="B53" s="80" t="s">
        <v>105516</v>
      </c>
      <c r="C53" s="80" t="s">
        <v>105573</v>
      </c>
      <c r="D53" s="80" t="s">
        <v>105573</v>
      </c>
      <c r="E53" s="80" t="s">
        <v>105520</v>
      </c>
      <c r="F53" s="80" t="s">
        <v>105538</v>
      </c>
      <c r="G53" s="80" t="s">
        <v>105538</v>
      </c>
      <c r="H53" s="80" t="s">
        <v>105675</v>
      </c>
      <c r="I53" s="80"/>
      <c r="J53" s="416"/>
      <c r="K53" s="80"/>
      <c r="L53" s="436"/>
      <c r="M53" s="304" t="s">
        <v>106617</v>
      </c>
      <c r="N53" s="83"/>
      <c r="O53" s="83"/>
      <c r="P53" s="84"/>
      <c r="Q53" s="84"/>
      <c r="R53" s="85">
        <f t="shared" ref="R53:T53" si="65">+R54</f>
        <v>10000000</v>
      </c>
      <c r="S53" s="85">
        <f t="shared" si="65"/>
        <v>10000000</v>
      </c>
      <c r="T53" s="85">
        <f t="shared" si="65"/>
        <v>0</v>
      </c>
      <c r="U53" s="86"/>
      <c r="V53" s="86"/>
      <c r="W53" s="341"/>
      <c r="X53" s="85">
        <f t="shared" ref="X53:AI53" si="66">+X54</f>
        <v>0</v>
      </c>
      <c r="Y53" s="85">
        <f t="shared" si="66"/>
        <v>0</v>
      </c>
      <c r="Z53" s="85">
        <f t="shared" si="66"/>
        <v>0</v>
      </c>
      <c r="AA53" s="85">
        <f t="shared" si="66"/>
        <v>0</v>
      </c>
      <c r="AB53" s="85">
        <f t="shared" si="66"/>
        <v>0</v>
      </c>
      <c r="AC53" s="85">
        <f t="shared" si="66"/>
        <v>0</v>
      </c>
      <c r="AD53" s="85">
        <f t="shared" si="66"/>
        <v>0</v>
      </c>
      <c r="AE53" s="85">
        <f t="shared" si="66"/>
        <v>0</v>
      </c>
      <c r="AF53" s="85">
        <f t="shared" si="66"/>
        <v>0</v>
      </c>
      <c r="AG53" s="85">
        <f t="shared" si="66"/>
        <v>0</v>
      </c>
      <c r="AH53" s="85">
        <f t="shared" si="66"/>
        <v>0</v>
      </c>
      <c r="AI53" s="85">
        <f t="shared" si="66"/>
        <v>0</v>
      </c>
      <c r="AJ53" s="593">
        <v>0</v>
      </c>
    </row>
    <row r="54" spans="2:36" ht="30" x14ac:dyDescent="0.2">
      <c r="B54" s="88"/>
      <c r="C54" s="89"/>
      <c r="D54" s="89"/>
      <c r="E54" s="89"/>
      <c r="F54" s="89"/>
      <c r="G54" s="89"/>
      <c r="H54" s="89"/>
      <c r="I54" s="89"/>
      <c r="J54" s="89"/>
      <c r="K54" s="96" t="s">
        <v>106610</v>
      </c>
      <c r="L54" s="55">
        <v>15121500</v>
      </c>
      <c r="M54" s="92" t="s">
        <v>113033</v>
      </c>
      <c r="N54" s="93">
        <v>45685</v>
      </c>
      <c r="O54" s="93" t="s">
        <v>113037</v>
      </c>
      <c r="P54" s="94" t="s">
        <v>113022</v>
      </c>
      <c r="Q54" s="94" t="s">
        <v>113034</v>
      </c>
      <c r="R54" s="314">
        <v>10000000</v>
      </c>
      <c r="S54" s="472">
        <v>10000000</v>
      </c>
      <c r="T54" s="472">
        <v>0</v>
      </c>
      <c r="U54" s="96"/>
      <c r="V54" s="97"/>
      <c r="W54" s="96" t="s">
        <v>113035</v>
      </c>
      <c r="X54" s="593"/>
      <c r="Y54" s="593"/>
      <c r="Z54" s="593"/>
      <c r="AA54" s="593"/>
      <c r="AB54" s="593"/>
      <c r="AC54" s="593"/>
      <c r="AD54" s="593"/>
      <c r="AE54" s="593"/>
      <c r="AF54" s="593"/>
      <c r="AG54" s="593"/>
      <c r="AH54" s="593"/>
      <c r="AI54" s="593"/>
      <c r="AJ54" s="593">
        <v>0</v>
      </c>
    </row>
    <row r="55" spans="2:36" ht="30" x14ac:dyDescent="0.2">
      <c r="B55" s="80" t="s">
        <v>105516</v>
      </c>
      <c r="C55" s="80" t="s">
        <v>105573</v>
      </c>
      <c r="D55" s="80" t="s">
        <v>105573</v>
      </c>
      <c r="E55" s="80" t="s">
        <v>105520</v>
      </c>
      <c r="F55" s="80" t="s">
        <v>105538</v>
      </c>
      <c r="G55" s="80" t="s">
        <v>105538</v>
      </c>
      <c r="H55" s="80" t="s">
        <v>105917</v>
      </c>
      <c r="I55" s="80"/>
      <c r="J55" s="416"/>
      <c r="K55" s="80"/>
      <c r="L55" s="436"/>
      <c r="M55" s="304" t="s">
        <v>106619</v>
      </c>
      <c r="N55" s="83"/>
      <c r="O55" s="83"/>
      <c r="P55" s="84"/>
      <c r="Q55" s="84"/>
      <c r="R55" s="85">
        <f t="shared" ref="R55:T55" si="67">+R56</f>
        <v>30000000</v>
      </c>
      <c r="S55" s="85">
        <f t="shared" si="67"/>
        <v>30000000</v>
      </c>
      <c r="T55" s="85">
        <f t="shared" si="67"/>
        <v>0</v>
      </c>
      <c r="U55" s="86"/>
      <c r="V55" s="86"/>
      <c r="W55" s="341"/>
      <c r="X55" s="85">
        <f t="shared" ref="X55:AI55" si="68">+X56</f>
        <v>0</v>
      </c>
      <c r="Y55" s="85">
        <f t="shared" si="68"/>
        <v>0</v>
      </c>
      <c r="Z55" s="85">
        <f t="shared" si="68"/>
        <v>0</v>
      </c>
      <c r="AA55" s="85">
        <f t="shared" si="68"/>
        <v>0</v>
      </c>
      <c r="AB55" s="85">
        <f t="shared" si="68"/>
        <v>0</v>
      </c>
      <c r="AC55" s="85">
        <f t="shared" si="68"/>
        <v>0</v>
      </c>
      <c r="AD55" s="85">
        <f t="shared" si="68"/>
        <v>0</v>
      </c>
      <c r="AE55" s="85">
        <f t="shared" si="68"/>
        <v>0</v>
      </c>
      <c r="AF55" s="85">
        <f t="shared" si="68"/>
        <v>0</v>
      </c>
      <c r="AG55" s="85">
        <f t="shared" si="68"/>
        <v>0</v>
      </c>
      <c r="AH55" s="85">
        <f t="shared" si="68"/>
        <v>0</v>
      </c>
      <c r="AI55" s="85">
        <f t="shared" si="68"/>
        <v>0</v>
      </c>
      <c r="AJ55" s="593">
        <v>0</v>
      </c>
    </row>
    <row r="56" spans="2:36" ht="30" x14ac:dyDescent="0.2">
      <c r="B56" s="88"/>
      <c r="C56" s="89"/>
      <c r="D56" s="89"/>
      <c r="E56" s="89"/>
      <c r="F56" s="89"/>
      <c r="G56" s="89"/>
      <c r="H56" s="89"/>
      <c r="I56" s="89"/>
      <c r="J56" s="89"/>
      <c r="K56" s="96" t="s">
        <v>106610</v>
      </c>
      <c r="L56" s="55">
        <v>15121500</v>
      </c>
      <c r="M56" s="100" t="s">
        <v>113036</v>
      </c>
      <c r="N56" s="93">
        <v>45748</v>
      </c>
      <c r="O56" s="93" t="s">
        <v>113087</v>
      </c>
      <c r="P56" s="94" t="s">
        <v>113028</v>
      </c>
      <c r="Q56" s="94" t="s">
        <v>113038</v>
      </c>
      <c r="R56" s="314">
        <v>30000000</v>
      </c>
      <c r="S56" s="472">
        <v>30000000</v>
      </c>
      <c r="T56" s="472">
        <v>0</v>
      </c>
      <c r="U56" s="96"/>
      <c r="V56" s="97"/>
      <c r="W56" s="96" t="s">
        <v>113035</v>
      </c>
      <c r="X56" s="593"/>
      <c r="Y56" s="593"/>
      <c r="Z56" s="593"/>
      <c r="AA56" s="593"/>
      <c r="AB56" s="593"/>
      <c r="AC56" s="593"/>
      <c r="AD56" s="593"/>
      <c r="AE56" s="593"/>
      <c r="AF56" s="593"/>
      <c r="AG56" s="593"/>
      <c r="AH56" s="593"/>
      <c r="AI56" s="593"/>
      <c r="AJ56" s="593">
        <v>0</v>
      </c>
    </row>
    <row r="57" spans="2:36" ht="30" x14ac:dyDescent="0.2">
      <c r="B57" s="334" t="s">
        <v>105516</v>
      </c>
      <c r="C57" s="334" t="s">
        <v>105573</v>
      </c>
      <c r="D57" s="334" t="s">
        <v>105573</v>
      </c>
      <c r="E57" s="334" t="s">
        <v>105520</v>
      </c>
      <c r="F57" s="334" t="s">
        <v>105538</v>
      </c>
      <c r="G57" s="334" t="s">
        <v>105544</v>
      </c>
      <c r="H57" s="72"/>
      <c r="I57" s="72"/>
      <c r="J57" s="415"/>
      <c r="K57" s="72"/>
      <c r="L57" s="73"/>
      <c r="M57" s="305" t="s">
        <v>106645</v>
      </c>
      <c r="N57" s="75"/>
      <c r="O57" s="75"/>
      <c r="P57" s="76"/>
      <c r="Q57" s="76"/>
      <c r="R57" s="77">
        <f t="shared" ref="R57:T57" si="69">+R58+R60</f>
        <v>56000000</v>
      </c>
      <c r="S57" s="77">
        <f t="shared" si="69"/>
        <v>56000000</v>
      </c>
      <c r="T57" s="77">
        <f t="shared" si="69"/>
        <v>0</v>
      </c>
      <c r="U57" s="78"/>
      <c r="V57" s="78"/>
      <c r="W57" s="72"/>
      <c r="X57" s="77">
        <f t="shared" ref="X57:Y57" si="70">+X58+X60</f>
        <v>0</v>
      </c>
      <c r="Y57" s="77">
        <f t="shared" si="70"/>
        <v>0</v>
      </c>
      <c r="Z57" s="77">
        <f t="shared" ref="Z57:AC57" si="71">+Z58+Z60</f>
        <v>0</v>
      </c>
      <c r="AA57" s="77">
        <f t="shared" si="71"/>
        <v>0</v>
      </c>
      <c r="AB57" s="77">
        <f t="shared" si="71"/>
        <v>0</v>
      </c>
      <c r="AC57" s="77">
        <f t="shared" si="71"/>
        <v>0</v>
      </c>
      <c r="AD57" s="77">
        <f t="shared" ref="AD57:AI57" si="72">+AD58+AD60</f>
        <v>0</v>
      </c>
      <c r="AE57" s="77">
        <f t="shared" si="72"/>
        <v>0</v>
      </c>
      <c r="AF57" s="77">
        <f t="shared" si="72"/>
        <v>0</v>
      </c>
      <c r="AG57" s="77">
        <f t="shared" si="72"/>
        <v>0</v>
      </c>
      <c r="AH57" s="77">
        <f t="shared" si="72"/>
        <v>0</v>
      </c>
      <c r="AI57" s="77">
        <f t="shared" si="72"/>
        <v>0</v>
      </c>
      <c r="AJ57" s="593">
        <v>0</v>
      </c>
    </row>
    <row r="58" spans="2:36" ht="30" x14ac:dyDescent="0.2">
      <c r="B58" s="80" t="s">
        <v>105516</v>
      </c>
      <c r="C58" s="80" t="s">
        <v>105573</v>
      </c>
      <c r="D58" s="80" t="s">
        <v>105573</v>
      </c>
      <c r="E58" s="80" t="s">
        <v>105520</v>
      </c>
      <c r="F58" s="80" t="s">
        <v>105538</v>
      </c>
      <c r="G58" s="80" t="s">
        <v>105544</v>
      </c>
      <c r="H58" s="81" t="s">
        <v>105520</v>
      </c>
      <c r="I58" s="80"/>
      <c r="J58" s="416"/>
      <c r="K58" s="80"/>
      <c r="L58" s="436"/>
      <c r="M58" s="82" t="s">
        <v>106647</v>
      </c>
      <c r="N58" s="83"/>
      <c r="O58" s="83"/>
      <c r="P58" s="84"/>
      <c r="Q58" s="84"/>
      <c r="R58" s="85">
        <f t="shared" ref="R58:T58" si="73">+R59</f>
        <v>40000000</v>
      </c>
      <c r="S58" s="85">
        <f t="shared" si="73"/>
        <v>40000000</v>
      </c>
      <c r="T58" s="85">
        <f t="shared" si="73"/>
        <v>0</v>
      </c>
      <c r="U58" s="86"/>
      <c r="V58" s="86"/>
      <c r="W58" s="341"/>
      <c r="X58" s="85">
        <f t="shared" ref="X58:AI58" si="74">+X59</f>
        <v>0</v>
      </c>
      <c r="Y58" s="85">
        <f t="shared" si="74"/>
        <v>0</v>
      </c>
      <c r="Z58" s="85">
        <f t="shared" si="74"/>
        <v>0</v>
      </c>
      <c r="AA58" s="85">
        <f t="shared" si="74"/>
        <v>0</v>
      </c>
      <c r="AB58" s="85">
        <f t="shared" si="74"/>
        <v>0</v>
      </c>
      <c r="AC58" s="85">
        <f t="shared" si="74"/>
        <v>0</v>
      </c>
      <c r="AD58" s="85">
        <f t="shared" si="74"/>
        <v>0</v>
      </c>
      <c r="AE58" s="85">
        <f t="shared" si="74"/>
        <v>0</v>
      </c>
      <c r="AF58" s="85">
        <f t="shared" si="74"/>
        <v>0</v>
      </c>
      <c r="AG58" s="85">
        <f t="shared" si="74"/>
        <v>0</v>
      </c>
      <c r="AH58" s="85">
        <f t="shared" si="74"/>
        <v>0</v>
      </c>
      <c r="AI58" s="85">
        <f t="shared" si="74"/>
        <v>0</v>
      </c>
      <c r="AJ58" s="593">
        <v>0</v>
      </c>
    </row>
    <row r="59" spans="2:36" ht="36.75" customHeight="1" x14ac:dyDescent="0.2">
      <c r="B59" s="88"/>
      <c r="C59" s="89"/>
      <c r="D59" s="89"/>
      <c r="E59" s="89"/>
      <c r="F59" s="89"/>
      <c r="G59" s="89"/>
      <c r="H59" s="89"/>
      <c r="I59" s="89"/>
      <c r="J59" s="89"/>
      <c r="K59" s="96" t="s">
        <v>106644</v>
      </c>
      <c r="L59" s="91">
        <v>44103100</v>
      </c>
      <c r="M59" s="92" t="s">
        <v>113523</v>
      </c>
      <c r="N59" s="93">
        <v>45716</v>
      </c>
      <c r="O59" s="93" t="s">
        <v>113001</v>
      </c>
      <c r="P59" s="94" t="s">
        <v>113045</v>
      </c>
      <c r="Q59" s="94" t="s">
        <v>113008</v>
      </c>
      <c r="R59" s="497">
        <v>40000000</v>
      </c>
      <c r="S59" s="472">
        <v>40000000</v>
      </c>
      <c r="T59" s="472">
        <v>0</v>
      </c>
      <c r="U59" s="96" t="s">
        <v>106081</v>
      </c>
      <c r="V59" s="97"/>
      <c r="W59" s="96" t="s">
        <v>113029</v>
      </c>
      <c r="X59" s="593"/>
      <c r="Y59" s="593"/>
      <c r="Z59" s="593"/>
      <c r="AA59" s="593"/>
      <c r="AB59" s="593"/>
      <c r="AC59" s="593"/>
      <c r="AD59" s="593"/>
      <c r="AE59" s="593"/>
      <c r="AF59" s="593"/>
      <c r="AG59" s="593"/>
      <c r="AH59" s="593"/>
      <c r="AI59" s="593"/>
      <c r="AJ59" s="593">
        <v>0</v>
      </c>
    </row>
    <row r="60" spans="2:36" ht="30" x14ac:dyDescent="0.2">
      <c r="B60" s="80" t="s">
        <v>105516</v>
      </c>
      <c r="C60" s="80" t="s">
        <v>105573</v>
      </c>
      <c r="D60" s="80" t="s">
        <v>105573</v>
      </c>
      <c r="E60" s="80" t="s">
        <v>105520</v>
      </c>
      <c r="F60" s="80" t="s">
        <v>105538</v>
      </c>
      <c r="G60" s="80" t="s">
        <v>105544</v>
      </c>
      <c r="H60" s="80" t="s">
        <v>105675</v>
      </c>
      <c r="I60" s="80"/>
      <c r="J60" s="416"/>
      <c r="K60" s="80"/>
      <c r="L60" s="436"/>
      <c r="M60" s="82" t="s">
        <v>106651</v>
      </c>
      <c r="N60" s="83"/>
      <c r="O60" s="83"/>
      <c r="P60" s="84"/>
      <c r="Q60" s="84"/>
      <c r="R60" s="85">
        <f t="shared" ref="R60:T60" si="75">+R61</f>
        <v>16000000</v>
      </c>
      <c r="S60" s="85">
        <f t="shared" si="75"/>
        <v>16000000</v>
      </c>
      <c r="T60" s="85">
        <f t="shared" si="75"/>
        <v>0</v>
      </c>
      <c r="U60" s="86"/>
      <c r="V60" s="86"/>
      <c r="W60" s="341"/>
      <c r="X60" s="85">
        <f t="shared" ref="X60:AI60" si="76">+X61</f>
        <v>0</v>
      </c>
      <c r="Y60" s="85">
        <f t="shared" si="76"/>
        <v>0</v>
      </c>
      <c r="Z60" s="85">
        <f t="shared" si="76"/>
        <v>0</v>
      </c>
      <c r="AA60" s="85">
        <f t="shared" si="76"/>
        <v>0</v>
      </c>
      <c r="AB60" s="85">
        <f t="shared" si="76"/>
        <v>0</v>
      </c>
      <c r="AC60" s="85">
        <f t="shared" si="76"/>
        <v>0</v>
      </c>
      <c r="AD60" s="85">
        <f t="shared" si="76"/>
        <v>0</v>
      </c>
      <c r="AE60" s="85">
        <f t="shared" si="76"/>
        <v>0</v>
      </c>
      <c r="AF60" s="85">
        <f t="shared" si="76"/>
        <v>0</v>
      </c>
      <c r="AG60" s="85">
        <f t="shared" si="76"/>
        <v>0</v>
      </c>
      <c r="AH60" s="85">
        <f t="shared" si="76"/>
        <v>0</v>
      </c>
      <c r="AI60" s="85">
        <f t="shared" si="76"/>
        <v>0</v>
      </c>
      <c r="AJ60" s="593">
        <v>0</v>
      </c>
    </row>
    <row r="61" spans="2:36" ht="30" x14ac:dyDescent="0.2">
      <c r="B61" s="88"/>
      <c r="C61" s="89"/>
      <c r="D61" s="89"/>
      <c r="E61" s="89"/>
      <c r="F61" s="89"/>
      <c r="G61" s="89"/>
      <c r="H61" s="89"/>
      <c r="I61" s="89"/>
      <c r="J61" s="89"/>
      <c r="K61" s="96" t="s">
        <v>106644</v>
      </c>
      <c r="L61" s="91" t="s">
        <v>113042</v>
      </c>
      <c r="M61" s="92" t="s">
        <v>113747</v>
      </c>
      <c r="N61" s="93">
        <v>45731</v>
      </c>
      <c r="O61" s="93" t="s">
        <v>113006</v>
      </c>
      <c r="P61" s="94" t="s">
        <v>113040</v>
      </c>
      <c r="Q61" s="94" t="s">
        <v>113008</v>
      </c>
      <c r="R61" s="314">
        <v>16000000</v>
      </c>
      <c r="S61" s="472">
        <v>16000000</v>
      </c>
      <c r="T61" s="472">
        <v>0</v>
      </c>
      <c r="U61" s="96"/>
      <c r="V61" s="97"/>
      <c r="W61" s="398" t="s">
        <v>113012</v>
      </c>
      <c r="X61" s="593"/>
      <c r="Y61" s="593"/>
      <c r="Z61" s="593"/>
      <c r="AA61" s="593"/>
      <c r="AB61" s="593"/>
      <c r="AC61" s="593"/>
      <c r="AD61" s="593"/>
      <c r="AE61" s="593"/>
      <c r="AF61" s="593"/>
      <c r="AG61" s="593"/>
      <c r="AH61" s="593"/>
      <c r="AI61" s="593"/>
      <c r="AJ61" s="593">
        <v>0</v>
      </c>
    </row>
    <row r="62" spans="2:36" x14ac:dyDescent="0.2">
      <c r="B62" s="334" t="s">
        <v>105516</v>
      </c>
      <c r="C62" s="334" t="s">
        <v>105573</v>
      </c>
      <c r="D62" s="334" t="s">
        <v>105573</v>
      </c>
      <c r="E62" s="334" t="s">
        <v>105520</v>
      </c>
      <c r="F62" s="334" t="s">
        <v>105538</v>
      </c>
      <c r="G62" s="334" t="s">
        <v>105547</v>
      </c>
      <c r="H62" s="72"/>
      <c r="I62" s="72"/>
      <c r="J62" s="415"/>
      <c r="K62" s="72"/>
      <c r="L62" s="73"/>
      <c r="M62" s="74" t="s">
        <v>106657</v>
      </c>
      <c r="N62" s="75"/>
      <c r="O62" s="75"/>
      <c r="P62" s="76"/>
      <c r="Q62" s="76"/>
      <c r="R62" s="77">
        <f t="shared" ref="R62:T62" si="77">+R63+R65+R67</f>
        <v>121000000</v>
      </c>
      <c r="S62" s="77">
        <f t="shared" si="77"/>
        <v>11000000</v>
      </c>
      <c r="T62" s="77">
        <f t="shared" si="77"/>
        <v>100000000</v>
      </c>
      <c r="U62" s="78"/>
      <c r="V62" s="78"/>
      <c r="W62" s="72"/>
      <c r="X62" s="77">
        <f t="shared" ref="X62:Y62" si="78">+X63+X65+X67</f>
        <v>0</v>
      </c>
      <c r="Y62" s="77">
        <f t="shared" si="78"/>
        <v>0</v>
      </c>
      <c r="Z62" s="77">
        <f t="shared" ref="Z62:AC62" si="79">+Z63+Z65+Z67</f>
        <v>0</v>
      </c>
      <c r="AA62" s="77">
        <f t="shared" si="79"/>
        <v>0</v>
      </c>
      <c r="AB62" s="77">
        <f t="shared" si="79"/>
        <v>0</v>
      </c>
      <c r="AC62" s="77">
        <f t="shared" si="79"/>
        <v>0</v>
      </c>
      <c r="AD62" s="77">
        <f t="shared" ref="AD62:AI62" si="80">+AD63+AD65+AD67</f>
        <v>0</v>
      </c>
      <c r="AE62" s="77">
        <f t="shared" si="80"/>
        <v>0</v>
      </c>
      <c r="AF62" s="77">
        <f t="shared" si="80"/>
        <v>0</v>
      </c>
      <c r="AG62" s="77">
        <f t="shared" si="80"/>
        <v>0</v>
      </c>
      <c r="AH62" s="77">
        <f t="shared" si="80"/>
        <v>0</v>
      </c>
      <c r="AI62" s="77">
        <f t="shared" si="80"/>
        <v>0</v>
      </c>
      <c r="AJ62" s="593">
        <v>0</v>
      </c>
    </row>
    <row r="63" spans="2:36" x14ac:dyDescent="0.2">
      <c r="B63" s="80" t="s">
        <v>105516</v>
      </c>
      <c r="C63" s="80" t="s">
        <v>105573</v>
      </c>
      <c r="D63" s="80" t="s">
        <v>105573</v>
      </c>
      <c r="E63" s="80" t="s">
        <v>105520</v>
      </c>
      <c r="F63" s="80" t="s">
        <v>105538</v>
      </c>
      <c r="G63" s="80" t="s">
        <v>105547</v>
      </c>
      <c r="H63" s="80" t="s">
        <v>105520</v>
      </c>
      <c r="I63" s="80"/>
      <c r="J63" s="416"/>
      <c r="K63" s="80"/>
      <c r="L63" s="436"/>
      <c r="M63" s="82" t="s">
        <v>106659</v>
      </c>
      <c r="N63" s="83"/>
      <c r="O63" s="83"/>
      <c r="P63" s="84"/>
      <c r="Q63" s="84"/>
      <c r="R63" s="85">
        <f t="shared" ref="R63:T63" si="81">+R64</f>
        <v>20000000</v>
      </c>
      <c r="S63" s="85">
        <f t="shared" si="81"/>
        <v>0</v>
      </c>
      <c r="T63" s="85">
        <f t="shared" si="81"/>
        <v>10000000</v>
      </c>
      <c r="U63" s="86"/>
      <c r="V63" s="86"/>
      <c r="W63" s="341"/>
      <c r="X63" s="85">
        <f t="shared" ref="X63:AI63" si="82">+X64</f>
        <v>0</v>
      </c>
      <c r="Y63" s="85">
        <f t="shared" si="82"/>
        <v>0</v>
      </c>
      <c r="Z63" s="85">
        <f t="shared" si="82"/>
        <v>0</v>
      </c>
      <c r="AA63" s="85">
        <f t="shared" si="82"/>
        <v>0</v>
      </c>
      <c r="AB63" s="85">
        <f t="shared" si="82"/>
        <v>0</v>
      </c>
      <c r="AC63" s="85">
        <f t="shared" si="82"/>
        <v>0</v>
      </c>
      <c r="AD63" s="85">
        <f t="shared" si="82"/>
        <v>0</v>
      </c>
      <c r="AE63" s="85">
        <f t="shared" si="82"/>
        <v>0</v>
      </c>
      <c r="AF63" s="85">
        <f t="shared" si="82"/>
        <v>0</v>
      </c>
      <c r="AG63" s="85">
        <f t="shared" si="82"/>
        <v>0</v>
      </c>
      <c r="AH63" s="85">
        <f t="shared" si="82"/>
        <v>0</v>
      </c>
      <c r="AI63" s="85">
        <f t="shared" si="82"/>
        <v>0</v>
      </c>
      <c r="AJ63" s="593">
        <v>0</v>
      </c>
    </row>
    <row r="64" spans="2:36" ht="30" x14ac:dyDescent="0.2">
      <c r="B64" s="88"/>
      <c r="C64" s="89"/>
      <c r="D64" s="89"/>
      <c r="E64" s="89"/>
      <c r="F64" s="89"/>
      <c r="G64" s="89"/>
      <c r="H64" s="89"/>
      <c r="I64" s="89"/>
      <c r="J64" s="89"/>
      <c r="K64" s="96" t="s">
        <v>106656</v>
      </c>
      <c r="L64" s="55">
        <v>25172500</v>
      </c>
      <c r="M64" s="92" t="s">
        <v>113044</v>
      </c>
      <c r="N64" s="93">
        <v>45703</v>
      </c>
      <c r="O64" s="93" t="s">
        <v>113001</v>
      </c>
      <c r="P64" s="94" t="s">
        <v>113201</v>
      </c>
      <c r="Q64" s="94" t="s">
        <v>113052</v>
      </c>
      <c r="R64" s="95">
        <v>20000000</v>
      </c>
      <c r="S64" s="472">
        <v>0</v>
      </c>
      <c r="T64" s="472">
        <v>10000000</v>
      </c>
      <c r="U64" s="96"/>
      <c r="V64" s="97"/>
      <c r="W64" s="96" t="s">
        <v>113035</v>
      </c>
      <c r="X64" s="593"/>
      <c r="Y64" s="593"/>
      <c r="Z64" s="593"/>
      <c r="AA64" s="593"/>
      <c r="AB64" s="593"/>
      <c r="AC64" s="593"/>
      <c r="AD64" s="593"/>
      <c r="AE64" s="593"/>
      <c r="AF64" s="593"/>
      <c r="AG64" s="593"/>
      <c r="AH64" s="593"/>
      <c r="AI64" s="593"/>
      <c r="AJ64" s="593">
        <v>0</v>
      </c>
    </row>
    <row r="65" spans="2:36" x14ac:dyDescent="0.2">
      <c r="B65" s="80" t="s">
        <v>105516</v>
      </c>
      <c r="C65" s="80" t="s">
        <v>105573</v>
      </c>
      <c r="D65" s="80" t="s">
        <v>105573</v>
      </c>
      <c r="E65" s="80" t="s">
        <v>105520</v>
      </c>
      <c r="F65" s="80" t="s">
        <v>105538</v>
      </c>
      <c r="G65" s="80" t="s">
        <v>105547</v>
      </c>
      <c r="H65" s="80" t="s">
        <v>105573</v>
      </c>
      <c r="I65" s="80"/>
      <c r="J65" s="416"/>
      <c r="K65" s="80"/>
      <c r="L65" s="436"/>
      <c r="M65" s="82" t="s">
        <v>106661</v>
      </c>
      <c r="N65" s="83"/>
      <c r="O65" s="83"/>
      <c r="P65" s="84"/>
      <c r="Q65" s="84"/>
      <c r="R65" s="85">
        <f t="shared" ref="R65:T65" si="83">+R66</f>
        <v>90000000</v>
      </c>
      <c r="S65" s="85">
        <f t="shared" si="83"/>
        <v>0</v>
      </c>
      <c r="T65" s="85">
        <f t="shared" si="83"/>
        <v>90000000</v>
      </c>
      <c r="U65" s="86"/>
      <c r="V65" s="86"/>
      <c r="W65" s="341"/>
      <c r="X65" s="85">
        <f t="shared" ref="X65:AI65" si="84">+X66</f>
        <v>0</v>
      </c>
      <c r="Y65" s="85">
        <f t="shared" si="84"/>
        <v>0</v>
      </c>
      <c r="Z65" s="85">
        <f t="shared" si="84"/>
        <v>0</v>
      </c>
      <c r="AA65" s="85">
        <f t="shared" si="84"/>
        <v>0</v>
      </c>
      <c r="AB65" s="85">
        <f t="shared" si="84"/>
        <v>0</v>
      </c>
      <c r="AC65" s="85">
        <f t="shared" si="84"/>
        <v>0</v>
      </c>
      <c r="AD65" s="85">
        <f t="shared" si="84"/>
        <v>0</v>
      </c>
      <c r="AE65" s="85">
        <f t="shared" si="84"/>
        <v>0</v>
      </c>
      <c r="AF65" s="85">
        <f t="shared" si="84"/>
        <v>0</v>
      </c>
      <c r="AG65" s="85">
        <f t="shared" si="84"/>
        <v>0</v>
      </c>
      <c r="AH65" s="85">
        <f t="shared" si="84"/>
        <v>0</v>
      </c>
      <c r="AI65" s="85">
        <f t="shared" si="84"/>
        <v>0</v>
      </c>
      <c r="AJ65" s="593">
        <v>0</v>
      </c>
    </row>
    <row r="66" spans="2:36" ht="150" x14ac:dyDescent="0.2">
      <c r="B66" s="88"/>
      <c r="C66" s="89"/>
      <c r="D66" s="89"/>
      <c r="E66" s="89"/>
      <c r="F66" s="89"/>
      <c r="G66" s="89"/>
      <c r="H66" s="89"/>
      <c r="I66" s="89"/>
      <c r="J66" s="89"/>
      <c r="K66" s="96" t="s">
        <v>106656</v>
      </c>
      <c r="L66" s="91" t="s">
        <v>113241</v>
      </c>
      <c r="M66" s="102" t="s">
        <v>113710</v>
      </c>
      <c r="N66" s="440">
        <v>45839</v>
      </c>
      <c r="O66" s="441" t="s">
        <v>113010</v>
      </c>
      <c r="P66" s="441" t="s">
        <v>113155</v>
      </c>
      <c r="Q66" s="441" t="s">
        <v>112999</v>
      </c>
      <c r="R66" s="314">
        <v>90000000</v>
      </c>
      <c r="S66" s="472">
        <v>0</v>
      </c>
      <c r="T66" s="563">
        <v>90000000</v>
      </c>
      <c r="U66" s="96"/>
      <c r="V66" s="97"/>
      <c r="W66" s="96" t="s">
        <v>113019</v>
      </c>
      <c r="X66" s="593"/>
      <c r="Y66" s="593"/>
      <c r="Z66" s="593"/>
      <c r="AA66" s="593"/>
      <c r="AB66" s="593"/>
      <c r="AC66" s="593"/>
      <c r="AD66" s="593"/>
      <c r="AE66" s="593"/>
      <c r="AF66" s="593"/>
      <c r="AG66" s="593"/>
      <c r="AH66" s="593"/>
      <c r="AI66" s="593"/>
      <c r="AJ66" s="593">
        <v>0</v>
      </c>
    </row>
    <row r="67" spans="2:36" x14ac:dyDescent="0.2">
      <c r="B67" s="80" t="s">
        <v>105516</v>
      </c>
      <c r="C67" s="80" t="s">
        <v>105573</v>
      </c>
      <c r="D67" s="80" t="s">
        <v>105573</v>
      </c>
      <c r="E67" s="80" t="s">
        <v>105520</v>
      </c>
      <c r="F67" s="80" t="s">
        <v>105538</v>
      </c>
      <c r="G67" s="80" t="s">
        <v>105547</v>
      </c>
      <c r="H67" s="80" t="s">
        <v>106109</v>
      </c>
      <c r="I67" s="80"/>
      <c r="J67" s="416"/>
      <c r="K67" s="80"/>
      <c r="L67" s="108"/>
      <c r="M67" s="109" t="s">
        <v>106667</v>
      </c>
      <c r="N67" s="110"/>
      <c r="O67" s="110"/>
      <c r="P67" s="111"/>
      <c r="Q67" s="111"/>
      <c r="R67" s="112">
        <f t="shared" ref="R67:T67" si="85">SUM(R68:R69)</f>
        <v>11000000</v>
      </c>
      <c r="S67" s="112">
        <f t="shared" si="85"/>
        <v>11000000</v>
      </c>
      <c r="T67" s="112">
        <f t="shared" si="85"/>
        <v>0</v>
      </c>
      <c r="U67" s="113"/>
      <c r="V67" s="113"/>
      <c r="W67" s="122"/>
      <c r="X67" s="112">
        <f t="shared" ref="X67:Y67" si="86">SUM(X68:X69)</f>
        <v>0</v>
      </c>
      <c r="Y67" s="112">
        <f t="shared" si="86"/>
        <v>0</v>
      </c>
      <c r="Z67" s="112">
        <f t="shared" ref="Z67:AC67" si="87">SUM(Z68:Z69)</f>
        <v>0</v>
      </c>
      <c r="AA67" s="112">
        <f t="shared" si="87"/>
        <v>0</v>
      </c>
      <c r="AB67" s="112">
        <f t="shared" si="87"/>
        <v>0</v>
      </c>
      <c r="AC67" s="112">
        <f t="shared" si="87"/>
        <v>0</v>
      </c>
      <c r="AD67" s="112">
        <f t="shared" ref="AD67:AI67" si="88">SUM(AD68:AD69)</f>
        <v>0</v>
      </c>
      <c r="AE67" s="112">
        <f t="shared" si="88"/>
        <v>0</v>
      </c>
      <c r="AF67" s="112">
        <f t="shared" si="88"/>
        <v>0</v>
      </c>
      <c r="AG67" s="112">
        <f t="shared" si="88"/>
        <v>0</v>
      </c>
      <c r="AH67" s="112">
        <f t="shared" si="88"/>
        <v>0</v>
      </c>
      <c r="AI67" s="112">
        <f t="shared" si="88"/>
        <v>0</v>
      </c>
      <c r="AJ67" s="593">
        <v>0</v>
      </c>
    </row>
    <row r="68" spans="2:36" ht="60" x14ac:dyDescent="0.2">
      <c r="B68" s="88"/>
      <c r="C68" s="89"/>
      <c r="D68" s="89"/>
      <c r="E68" s="89"/>
      <c r="F68" s="89"/>
      <c r="G68" s="89"/>
      <c r="H68" s="89"/>
      <c r="I68" s="89"/>
      <c r="J68" s="89"/>
      <c r="K68" s="96" t="s">
        <v>106656</v>
      </c>
      <c r="L68" s="91" t="s">
        <v>113047</v>
      </c>
      <c r="M68" s="92" t="s">
        <v>113748</v>
      </c>
      <c r="N68" s="93">
        <v>45731</v>
      </c>
      <c r="O68" s="93" t="s">
        <v>113006</v>
      </c>
      <c r="P68" s="94" t="s">
        <v>113040</v>
      </c>
      <c r="Q68" s="94" t="s">
        <v>113008</v>
      </c>
      <c r="R68" s="314">
        <v>11000000</v>
      </c>
      <c r="S68" s="472">
        <v>11000000</v>
      </c>
      <c r="T68" s="472">
        <v>0</v>
      </c>
      <c r="U68" s="96"/>
      <c r="V68" s="97"/>
      <c r="W68" s="398" t="s">
        <v>113012</v>
      </c>
      <c r="X68" s="593"/>
      <c r="Y68" s="593"/>
      <c r="Z68" s="593"/>
      <c r="AA68" s="593"/>
      <c r="AB68" s="593"/>
      <c r="AC68" s="593"/>
      <c r="AD68" s="593"/>
      <c r="AE68" s="593"/>
      <c r="AF68" s="593"/>
      <c r="AG68" s="593"/>
      <c r="AH68" s="593"/>
      <c r="AI68" s="593"/>
      <c r="AJ68" s="593">
        <v>0</v>
      </c>
    </row>
    <row r="69" spans="2:36" ht="150" x14ac:dyDescent="0.2">
      <c r="B69" s="88"/>
      <c r="C69" s="89"/>
      <c r="D69" s="89"/>
      <c r="E69" s="89"/>
      <c r="F69" s="89"/>
      <c r="G69" s="89"/>
      <c r="H69" s="89"/>
      <c r="I69" s="89"/>
      <c r="J69" s="89"/>
      <c r="K69" s="96" t="s">
        <v>106656</v>
      </c>
      <c r="L69" s="181" t="s">
        <v>113382</v>
      </c>
      <c r="M69" s="102" t="s">
        <v>113711</v>
      </c>
      <c r="N69" s="93">
        <v>45689</v>
      </c>
      <c r="O69" s="93" t="s">
        <v>113001</v>
      </c>
      <c r="P69" s="94" t="s">
        <v>113040</v>
      </c>
      <c r="Q69" s="441" t="s">
        <v>112999</v>
      </c>
      <c r="R69" s="95">
        <v>0</v>
      </c>
      <c r="S69" s="472"/>
      <c r="T69" s="472"/>
      <c r="U69" s="96"/>
      <c r="V69" s="97"/>
      <c r="W69" s="96" t="s">
        <v>113019</v>
      </c>
      <c r="X69" s="593"/>
      <c r="Y69" s="593"/>
      <c r="Z69" s="593"/>
      <c r="AA69" s="593"/>
      <c r="AB69" s="593"/>
      <c r="AC69" s="593"/>
      <c r="AD69" s="593"/>
      <c r="AE69" s="593"/>
      <c r="AF69" s="593"/>
      <c r="AG69" s="593"/>
      <c r="AH69" s="593"/>
      <c r="AI69" s="593"/>
      <c r="AJ69" s="593">
        <v>0</v>
      </c>
    </row>
    <row r="70" spans="2:36" x14ac:dyDescent="0.2">
      <c r="B70" s="334" t="s">
        <v>105516</v>
      </c>
      <c r="C70" s="334" t="s">
        <v>105573</v>
      </c>
      <c r="D70" s="334" t="s">
        <v>105573</v>
      </c>
      <c r="E70" s="334" t="s">
        <v>105520</v>
      </c>
      <c r="F70" s="334" t="s">
        <v>105538</v>
      </c>
      <c r="G70" s="334" t="s">
        <v>105553</v>
      </c>
      <c r="H70" s="72"/>
      <c r="I70" s="72"/>
      <c r="J70" s="415"/>
      <c r="K70" s="72"/>
      <c r="L70" s="73"/>
      <c r="M70" s="74" t="s">
        <v>106685</v>
      </c>
      <c r="N70" s="75"/>
      <c r="O70" s="75"/>
      <c r="P70" s="76"/>
      <c r="Q70" s="76"/>
      <c r="R70" s="77">
        <f t="shared" ref="R70:T70" si="89">R71+R73</f>
        <v>64800000</v>
      </c>
      <c r="S70" s="77">
        <f t="shared" si="89"/>
        <v>30000000</v>
      </c>
      <c r="T70" s="77">
        <f t="shared" si="89"/>
        <v>35000000</v>
      </c>
      <c r="U70" s="78"/>
      <c r="V70" s="78"/>
      <c r="W70" s="72"/>
      <c r="X70" s="77">
        <f t="shared" ref="X70:Y70" si="90">X71+X73</f>
        <v>0</v>
      </c>
      <c r="Y70" s="77">
        <f t="shared" si="90"/>
        <v>0</v>
      </c>
      <c r="Z70" s="77">
        <f t="shared" ref="Z70:AC70" si="91">Z71+Z73</f>
        <v>0</v>
      </c>
      <c r="AA70" s="77">
        <f t="shared" si="91"/>
        <v>0</v>
      </c>
      <c r="AB70" s="77">
        <f t="shared" si="91"/>
        <v>0</v>
      </c>
      <c r="AC70" s="77">
        <f t="shared" si="91"/>
        <v>0</v>
      </c>
      <c r="AD70" s="77">
        <f t="shared" ref="AD70:AI70" si="92">AD71+AD73</f>
        <v>0</v>
      </c>
      <c r="AE70" s="77">
        <f t="shared" si="92"/>
        <v>0</v>
      </c>
      <c r="AF70" s="77">
        <f t="shared" si="92"/>
        <v>0</v>
      </c>
      <c r="AG70" s="77">
        <f t="shared" si="92"/>
        <v>0</v>
      </c>
      <c r="AH70" s="77">
        <f t="shared" si="92"/>
        <v>0</v>
      </c>
      <c r="AI70" s="77">
        <f t="shared" si="92"/>
        <v>0</v>
      </c>
      <c r="AJ70" s="593">
        <v>0</v>
      </c>
    </row>
    <row r="71" spans="2:36" s="14" customFormat="1" x14ac:dyDescent="0.2">
      <c r="B71" s="341" t="s">
        <v>105516</v>
      </c>
      <c r="C71" s="341" t="s">
        <v>105573</v>
      </c>
      <c r="D71" s="341" t="s">
        <v>105573</v>
      </c>
      <c r="E71" s="341" t="s">
        <v>105520</v>
      </c>
      <c r="F71" s="341" t="s">
        <v>105538</v>
      </c>
      <c r="G71" s="80" t="s">
        <v>105553</v>
      </c>
      <c r="H71" s="81" t="s">
        <v>105573</v>
      </c>
      <c r="I71" s="341"/>
      <c r="J71" s="341"/>
      <c r="K71" s="341"/>
      <c r="L71" s="340"/>
      <c r="M71" s="303" t="s">
        <v>106210</v>
      </c>
      <c r="N71" s="83"/>
      <c r="O71" s="442"/>
      <c r="P71" s="442"/>
      <c r="Q71" s="443"/>
      <c r="R71" s="443">
        <f t="shared" ref="R71:T71" si="93">+R72</f>
        <v>35000000</v>
      </c>
      <c r="S71" s="443">
        <f t="shared" si="93"/>
        <v>0</v>
      </c>
      <c r="T71" s="443">
        <f t="shared" si="93"/>
        <v>35000000</v>
      </c>
      <c r="U71" s="86"/>
      <c r="V71" s="86"/>
      <c r="W71" s="80"/>
      <c r="X71" s="443">
        <f t="shared" ref="X71:AI71" si="94">+X72</f>
        <v>0</v>
      </c>
      <c r="Y71" s="443">
        <f t="shared" si="94"/>
        <v>0</v>
      </c>
      <c r="Z71" s="443">
        <f t="shared" si="94"/>
        <v>0</v>
      </c>
      <c r="AA71" s="443">
        <f t="shared" si="94"/>
        <v>0</v>
      </c>
      <c r="AB71" s="443">
        <f t="shared" si="94"/>
        <v>0</v>
      </c>
      <c r="AC71" s="443">
        <f t="shared" si="94"/>
        <v>0</v>
      </c>
      <c r="AD71" s="443">
        <f t="shared" si="94"/>
        <v>0</v>
      </c>
      <c r="AE71" s="443">
        <f t="shared" si="94"/>
        <v>0</v>
      </c>
      <c r="AF71" s="443">
        <f t="shared" si="94"/>
        <v>0</v>
      </c>
      <c r="AG71" s="443">
        <f t="shared" si="94"/>
        <v>0</v>
      </c>
      <c r="AH71" s="443">
        <f t="shared" si="94"/>
        <v>0</v>
      </c>
      <c r="AI71" s="443">
        <f t="shared" si="94"/>
        <v>0</v>
      </c>
      <c r="AJ71" s="593">
        <v>0</v>
      </c>
    </row>
    <row r="72" spans="2:36" s="21" customFormat="1" ht="30" x14ac:dyDescent="0.25">
      <c r="B72" s="88"/>
      <c r="C72" s="335"/>
      <c r="D72" s="335"/>
      <c r="E72" s="335"/>
      <c r="F72" s="335"/>
      <c r="G72" s="335"/>
      <c r="H72" s="335"/>
      <c r="I72" s="335"/>
      <c r="J72" s="90"/>
      <c r="K72" s="98" t="s">
        <v>106684</v>
      </c>
      <c r="L72" s="55"/>
      <c r="M72" s="92" t="s">
        <v>113507</v>
      </c>
      <c r="N72" s="93">
        <v>45684</v>
      </c>
      <c r="O72" s="441" t="s">
        <v>113037</v>
      </c>
      <c r="P72" s="441" t="s">
        <v>113045</v>
      </c>
      <c r="Q72" s="95" t="s">
        <v>113243</v>
      </c>
      <c r="R72" s="95">
        <v>35000000</v>
      </c>
      <c r="S72" s="472">
        <v>0</v>
      </c>
      <c r="T72" s="472">
        <v>35000000</v>
      </c>
      <c r="U72" s="96"/>
      <c r="V72" s="98"/>
      <c r="W72" s="96" t="s">
        <v>113019</v>
      </c>
      <c r="X72" s="593"/>
      <c r="Y72" s="593"/>
      <c r="Z72" s="593"/>
      <c r="AA72" s="593"/>
      <c r="AB72" s="593"/>
      <c r="AC72" s="593"/>
      <c r="AD72" s="593"/>
      <c r="AE72" s="593"/>
      <c r="AF72" s="593"/>
      <c r="AG72" s="593"/>
      <c r="AH72" s="593"/>
      <c r="AI72" s="593"/>
      <c r="AJ72" s="593">
        <v>0</v>
      </c>
    </row>
    <row r="73" spans="2:36" x14ac:dyDescent="0.2">
      <c r="B73" s="122" t="s">
        <v>105516</v>
      </c>
      <c r="C73" s="122" t="s">
        <v>105573</v>
      </c>
      <c r="D73" s="122" t="s">
        <v>105573</v>
      </c>
      <c r="E73" s="122" t="s">
        <v>105520</v>
      </c>
      <c r="F73" s="122" t="s">
        <v>105538</v>
      </c>
      <c r="G73" s="80" t="s">
        <v>105553</v>
      </c>
      <c r="H73" s="80" t="s">
        <v>106109</v>
      </c>
      <c r="I73" s="122"/>
      <c r="J73" s="418"/>
      <c r="K73" s="122"/>
      <c r="L73" s="108"/>
      <c r="M73" s="109" t="s">
        <v>106701</v>
      </c>
      <c r="N73" s="110"/>
      <c r="O73" s="110"/>
      <c r="P73" s="111"/>
      <c r="Q73" s="111"/>
      <c r="R73" s="112">
        <f t="shared" ref="R73:T73" si="95">+R74</f>
        <v>29800000</v>
      </c>
      <c r="S73" s="112">
        <f t="shared" si="95"/>
        <v>30000000</v>
      </c>
      <c r="T73" s="112">
        <f t="shared" si="95"/>
        <v>0</v>
      </c>
      <c r="U73" s="113"/>
      <c r="V73" s="113"/>
      <c r="W73" s="122"/>
      <c r="X73" s="112">
        <f t="shared" ref="X73:AI73" si="96">+X74</f>
        <v>0</v>
      </c>
      <c r="Y73" s="112">
        <f t="shared" si="96"/>
        <v>0</v>
      </c>
      <c r="Z73" s="112">
        <f t="shared" si="96"/>
        <v>0</v>
      </c>
      <c r="AA73" s="112">
        <f t="shared" si="96"/>
        <v>0</v>
      </c>
      <c r="AB73" s="112">
        <f t="shared" si="96"/>
        <v>0</v>
      </c>
      <c r="AC73" s="112">
        <f t="shared" si="96"/>
        <v>0</v>
      </c>
      <c r="AD73" s="112">
        <f t="shared" si="96"/>
        <v>0</v>
      </c>
      <c r="AE73" s="112">
        <f t="shared" si="96"/>
        <v>0</v>
      </c>
      <c r="AF73" s="112">
        <f t="shared" si="96"/>
        <v>0</v>
      </c>
      <c r="AG73" s="112">
        <f t="shared" si="96"/>
        <v>0</v>
      </c>
      <c r="AH73" s="112">
        <f t="shared" si="96"/>
        <v>0</v>
      </c>
      <c r="AI73" s="112">
        <f t="shared" si="96"/>
        <v>0</v>
      </c>
      <c r="AJ73" s="593">
        <v>0</v>
      </c>
    </row>
    <row r="74" spans="2:36" s="123" customFormat="1" x14ac:dyDescent="0.25">
      <c r="B74" s="88"/>
      <c r="C74" s="89"/>
      <c r="D74" s="89"/>
      <c r="E74" s="89"/>
      <c r="F74" s="89"/>
      <c r="G74" s="89"/>
      <c r="H74" s="89"/>
      <c r="I74" s="89"/>
      <c r="J74" s="89"/>
      <c r="K74" s="96" t="s">
        <v>106684</v>
      </c>
      <c r="L74" s="55"/>
      <c r="M74" s="92" t="s">
        <v>113049</v>
      </c>
      <c r="N74" s="93" t="s">
        <v>113031</v>
      </c>
      <c r="O74" s="93" t="s">
        <v>113031</v>
      </c>
      <c r="P74" s="93" t="s">
        <v>113031</v>
      </c>
      <c r="Q74" s="93" t="s">
        <v>113031</v>
      </c>
      <c r="R74" s="95">
        <v>29800000</v>
      </c>
      <c r="S74" s="472">
        <v>30000000</v>
      </c>
      <c r="T74" s="472">
        <v>0</v>
      </c>
      <c r="U74" s="96"/>
      <c r="V74" s="98"/>
      <c r="W74" s="96"/>
      <c r="X74" s="593"/>
      <c r="Y74" s="593"/>
      <c r="Z74" s="593"/>
      <c r="AA74" s="593"/>
      <c r="AB74" s="593"/>
      <c r="AC74" s="593"/>
      <c r="AD74" s="593"/>
      <c r="AE74" s="593"/>
      <c r="AF74" s="593"/>
      <c r="AG74" s="593"/>
      <c r="AH74" s="593"/>
      <c r="AI74" s="593"/>
      <c r="AJ74" s="593">
        <v>0</v>
      </c>
    </row>
    <row r="75" spans="2:36" x14ac:dyDescent="0.2">
      <c r="B75" s="63" t="s">
        <v>105516</v>
      </c>
      <c r="C75" s="63" t="s">
        <v>105573</v>
      </c>
      <c r="D75" s="63" t="s">
        <v>105573</v>
      </c>
      <c r="E75" s="63" t="s">
        <v>105520</v>
      </c>
      <c r="F75" s="63" t="s">
        <v>105541</v>
      </c>
      <c r="G75" s="63"/>
      <c r="H75" s="63"/>
      <c r="I75" s="63"/>
      <c r="J75" s="414"/>
      <c r="K75" s="254"/>
      <c r="L75" s="65"/>
      <c r="M75" s="66" t="s">
        <v>106705</v>
      </c>
      <c r="N75" s="67"/>
      <c r="O75" s="67"/>
      <c r="P75" s="68"/>
      <c r="Q75" s="68"/>
      <c r="R75" s="69">
        <f>+R78+R81+R85+R92+R76</f>
        <v>327000000</v>
      </c>
      <c r="S75" s="69">
        <f>+S78+S81+S85+S92+S76</f>
        <v>210000000</v>
      </c>
      <c r="T75" s="69">
        <f>+T78+T81+T85+T92+T76</f>
        <v>247000000</v>
      </c>
      <c r="U75" s="70"/>
      <c r="V75" s="70"/>
      <c r="W75" s="254"/>
      <c r="X75" s="69">
        <f t="shared" ref="X75:AI75" si="97">+X78+X81+X85+X92+X76</f>
        <v>0</v>
      </c>
      <c r="Y75" s="69">
        <f t="shared" si="97"/>
        <v>0</v>
      </c>
      <c r="Z75" s="69">
        <f t="shared" si="97"/>
        <v>0</v>
      </c>
      <c r="AA75" s="69">
        <f t="shared" si="97"/>
        <v>0</v>
      </c>
      <c r="AB75" s="69">
        <f t="shared" si="97"/>
        <v>0</v>
      </c>
      <c r="AC75" s="69">
        <f t="shared" si="97"/>
        <v>10000000</v>
      </c>
      <c r="AD75" s="69">
        <f t="shared" si="97"/>
        <v>0</v>
      </c>
      <c r="AE75" s="69">
        <f t="shared" si="97"/>
        <v>0</v>
      </c>
      <c r="AF75" s="69">
        <f t="shared" si="97"/>
        <v>0</v>
      </c>
      <c r="AG75" s="69">
        <f t="shared" si="97"/>
        <v>0</v>
      </c>
      <c r="AH75" s="69">
        <f t="shared" si="97"/>
        <v>0</v>
      </c>
      <c r="AI75" s="69">
        <f t="shared" si="97"/>
        <v>0</v>
      </c>
      <c r="AJ75" s="593">
        <v>0</v>
      </c>
    </row>
    <row r="76" spans="2:36" ht="30" x14ac:dyDescent="0.2">
      <c r="B76" s="334" t="s">
        <v>105516</v>
      </c>
      <c r="C76" s="334" t="s">
        <v>105573</v>
      </c>
      <c r="D76" s="334" t="s">
        <v>105573</v>
      </c>
      <c r="E76" s="334" t="s">
        <v>105520</v>
      </c>
      <c r="F76" s="334" t="s">
        <v>105541</v>
      </c>
      <c r="G76" s="342" t="s">
        <v>105535</v>
      </c>
      <c r="H76" s="72"/>
      <c r="I76" s="72"/>
      <c r="J76" s="415"/>
      <c r="K76" s="72"/>
      <c r="L76" s="73"/>
      <c r="M76" s="305" t="s">
        <v>106709</v>
      </c>
      <c r="N76" s="75"/>
      <c r="O76" s="75"/>
      <c r="P76" s="76"/>
      <c r="Q76" s="76"/>
      <c r="R76" s="77">
        <f t="shared" ref="R76:T76" si="98">SUM(R77:R77)</f>
        <v>20000000</v>
      </c>
      <c r="S76" s="77">
        <f t="shared" si="98"/>
        <v>20000000</v>
      </c>
      <c r="T76" s="77">
        <f t="shared" si="98"/>
        <v>0</v>
      </c>
      <c r="U76" s="78"/>
      <c r="V76" s="78"/>
      <c r="W76" s="72"/>
      <c r="X76" s="77">
        <f t="shared" ref="X76:AI76" si="99">SUM(X77:X77)</f>
        <v>0</v>
      </c>
      <c r="Y76" s="77">
        <f t="shared" si="99"/>
        <v>0</v>
      </c>
      <c r="Z76" s="77">
        <f t="shared" si="99"/>
        <v>0</v>
      </c>
      <c r="AA76" s="77">
        <f t="shared" si="99"/>
        <v>0</v>
      </c>
      <c r="AB76" s="77">
        <f t="shared" si="99"/>
        <v>0</v>
      </c>
      <c r="AC76" s="77">
        <f t="shared" si="99"/>
        <v>0</v>
      </c>
      <c r="AD76" s="77">
        <f t="shared" si="99"/>
        <v>0</v>
      </c>
      <c r="AE76" s="77">
        <f t="shared" si="99"/>
        <v>0</v>
      </c>
      <c r="AF76" s="77">
        <f t="shared" si="99"/>
        <v>0</v>
      </c>
      <c r="AG76" s="77">
        <f t="shared" si="99"/>
        <v>0</v>
      </c>
      <c r="AH76" s="77">
        <f t="shared" si="99"/>
        <v>0</v>
      </c>
      <c r="AI76" s="77">
        <f t="shared" si="99"/>
        <v>0</v>
      </c>
      <c r="AJ76" s="593">
        <v>0</v>
      </c>
    </row>
    <row r="77" spans="2:36" ht="60" x14ac:dyDescent="0.2">
      <c r="B77" s="88"/>
      <c r="C77" s="89"/>
      <c r="D77" s="89"/>
      <c r="E77" s="89"/>
      <c r="F77" s="89"/>
      <c r="G77" s="89"/>
      <c r="H77" s="89"/>
      <c r="I77" s="89"/>
      <c r="J77" s="89"/>
      <c r="K77" s="96" t="s">
        <v>106717</v>
      </c>
      <c r="L77" s="91" t="s">
        <v>113340</v>
      </c>
      <c r="M77" s="444" t="s">
        <v>113502</v>
      </c>
      <c r="N77" s="93">
        <v>45717</v>
      </c>
      <c r="O77" s="441" t="s">
        <v>113006</v>
      </c>
      <c r="P77" s="441" t="s">
        <v>113045</v>
      </c>
      <c r="Q77" s="95" t="s">
        <v>113052</v>
      </c>
      <c r="R77" s="314">
        <v>20000000</v>
      </c>
      <c r="S77" s="472">
        <v>20000000</v>
      </c>
      <c r="T77" s="472">
        <v>0</v>
      </c>
      <c r="U77" s="96"/>
      <c r="V77" s="97"/>
      <c r="W77" s="96" t="s">
        <v>113019</v>
      </c>
      <c r="X77" s="593"/>
      <c r="Y77" s="593"/>
      <c r="Z77" s="593"/>
      <c r="AA77" s="593"/>
      <c r="AB77" s="593"/>
      <c r="AC77" s="593"/>
      <c r="AD77" s="593"/>
      <c r="AE77" s="593"/>
      <c r="AF77" s="593"/>
      <c r="AG77" s="593"/>
      <c r="AH77" s="593"/>
      <c r="AI77" s="593"/>
      <c r="AJ77" s="593">
        <v>0</v>
      </c>
    </row>
    <row r="78" spans="2:36" x14ac:dyDescent="0.2">
      <c r="B78" s="334" t="s">
        <v>105516</v>
      </c>
      <c r="C78" s="334" t="s">
        <v>105573</v>
      </c>
      <c r="D78" s="334" t="s">
        <v>105573</v>
      </c>
      <c r="E78" s="334" t="s">
        <v>105520</v>
      </c>
      <c r="F78" s="334" t="s">
        <v>105541</v>
      </c>
      <c r="G78" s="334" t="s">
        <v>105541</v>
      </c>
      <c r="H78" s="72"/>
      <c r="I78" s="72"/>
      <c r="J78" s="415"/>
      <c r="K78" s="72"/>
      <c r="L78" s="73"/>
      <c r="M78" s="74" t="s">
        <v>106246</v>
      </c>
      <c r="N78" s="75"/>
      <c r="O78" s="75"/>
      <c r="P78" s="76"/>
      <c r="Q78" s="76"/>
      <c r="R78" s="77">
        <f t="shared" ref="R78:T79" si="100">+R79</f>
        <v>25000000</v>
      </c>
      <c r="S78" s="77">
        <f t="shared" si="100"/>
        <v>0</v>
      </c>
      <c r="T78" s="77">
        <f t="shared" si="100"/>
        <v>25000000</v>
      </c>
      <c r="U78" s="78"/>
      <c r="V78" s="78"/>
      <c r="W78" s="72"/>
      <c r="X78" s="77">
        <f t="shared" ref="X78:AI79" si="101">+X79</f>
        <v>0</v>
      </c>
      <c r="Y78" s="77">
        <f t="shared" si="101"/>
        <v>0</v>
      </c>
      <c r="Z78" s="77">
        <f t="shared" si="101"/>
        <v>0</v>
      </c>
      <c r="AA78" s="77">
        <f t="shared" si="101"/>
        <v>0</v>
      </c>
      <c r="AB78" s="77">
        <f t="shared" si="101"/>
        <v>0</v>
      </c>
      <c r="AC78" s="77">
        <f t="shared" si="101"/>
        <v>0</v>
      </c>
      <c r="AD78" s="77">
        <f t="shared" si="101"/>
        <v>0</v>
      </c>
      <c r="AE78" s="77">
        <f t="shared" si="101"/>
        <v>0</v>
      </c>
      <c r="AF78" s="77">
        <f t="shared" si="101"/>
        <v>0</v>
      </c>
      <c r="AG78" s="77">
        <f t="shared" si="101"/>
        <v>0</v>
      </c>
      <c r="AH78" s="77">
        <f t="shared" si="101"/>
        <v>0</v>
      </c>
      <c r="AI78" s="77">
        <f t="shared" si="101"/>
        <v>0</v>
      </c>
      <c r="AJ78" s="593">
        <v>0</v>
      </c>
    </row>
    <row r="79" spans="2:36" x14ac:dyDescent="0.2">
      <c r="B79" s="80" t="s">
        <v>105516</v>
      </c>
      <c r="C79" s="80" t="s">
        <v>105573</v>
      </c>
      <c r="D79" s="80" t="s">
        <v>105573</v>
      </c>
      <c r="E79" s="80" t="s">
        <v>105520</v>
      </c>
      <c r="F79" s="80" t="s">
        <v>105541</v>
      </c>
      <c r="G79" s="80" t="s">
        <v>105541</v>
      </c>
      <c r="H79" s="80" t="s">
        <v>106109</v>
      </c>
      <c r="I79" s="80"/>
      <c r="J79" s="416"/>
      <c r="K79" s="80"/>
      <c r="L79" s="436"/>
      <c r="M79" s="304" t="s">
        <v>106262</v>
      </c>
      <c r="N79" s="83"/>
      <c r="O79" s="83"/>
      <c r="P79" s="84"/>
      <c r="Q79" s="84"/>
      <c r="R79" s="85">
        <f t="shared" si="100"/>
        <v>25000000</v>
      </c>
      <c r="S79" s="85">
        <f t="shared" si="100"/>
        <v>0</v>
      </c>
      <c r="T79" s="85">
        <f t="shared" si="100"/>
        <v>25000000</v>
      </c>
      <c r="U79" s="86"/>
      <c r="V79" s="86"/>
      <c r="W79" s="341"/>
      <c r="X79" s="85">
        <f t="shared" si="101"/>
        <v>0</v>
      </c>
      <c r="Y79" s="85">
        <f t="shared" si="101"/>
        <v>0</v>
      </c>
      <c r="Z79" s="85">
        <f t="shared" si="101"/>
        <v>0</v>
      </c>
      <c r="AA79" s="85">
        <f t="shared" si="101"/>
        <v>0</v>
      </c>
      <c r="AB79" s="85">
        <f t="shared" si="101"/>
        <v>0</v>
      </c>
      <c r="AC79" s="85">
        <f t="shared" si="101"/>
        <v>0</v>
      </c>
      <c r="AD79" s="85">
        <f t="shared" si="101"/>
        <v>0</v>
      </c>
      <c r="AE79" s="85">
        <f t="shared" si="101"/>
        <v>0</v>
      </c>
      <c r="AF79" s="85">
        <f t="shared" si="101"/>
        <v>0</v>
      </c>
      <c r="AG79" s="85">
        <f t="shared" si="101"/>
        <v>0</v>
      </c>
      <c r="AH79" s="85">
        <f t="shared" si="101"/>
        <v>0</v>
      </c>
      <c r="AI79" s="85">
        <f t="shared" si="101"/>
        <v>0</v>
      </c>
      <c r="AJ79" s="593">
        <v>0</v>
      </c>
    </row>
    <row r="80" spans="2:36" ht="45" x14ac:dyDescent="0.2">
      <c r="B80" s="88"/>
      <c r="C80" s="89"/>
      <c r="D80" s="89"/>
      <c r="E80" s="89"/>
      <c r="F80" s="89"/>
      <c r="G80" s="89"/>
      <c r="H80" s="89"/>
      <c r="I80" s="89"/>
      <c r="J80" s="89"/>
      <c r="K80" s="96" t="s">
        <v>106717</v>
      </c>
      <c r="L80" s="91" t="s">
        <v>113244</v>
      </c>
      <c r="M80" s="102" t="s">
        <v>113713</v>
      </c>
      <c r="N80" s="440">
        <v>45839</v>
      </c>
      <c r="O80" s="441" t="s">
        <v>113010</v>
      </c>
      <c r="P80" s="441" t="s">
        <v>113155</v>
      </c>
      <c r="Q80" s="441" t="s">
        <v>113038</v>
      </c>
      <c r="R80" s="314">
        <v>25000000</v>
      </c>
      <c r="S80" s="472">
        <v>0</v>
      </c>
      <c r="T80" s="472">
        <v>25000000</v>
      </c>
      <c r="U80" s="96"/>
      <c r="V80" s="97"/>
      <c r="W80" s="96" t="s">
        <v>113019</v>
      </c>
      <c r="X80" s="593"/>
      <c r="Y80" s="593"/>
      <c r="Z80" s="593"/>
      <c r="AA80" s="593"/>
      <c r="AB80" s="593"/>
      <c r="AC80" s="593"/>
      <c r="AD80" s="593"/>
      <c r="AE80" s="593"/>
      <c r="AF80" s="593"/>
      <c r="AG80" s="593"/>
      <c r="AH80" s="593"/>
      <c r="AI80" s="593"/>
      <c r="AJ80" s="593">
        <v>0</v>
      </c>
    </row>
    <row r="81" spans="2:36" x14ac:dyDescent="0.2">
      <c r="B81" s="334" t="s">
        <v>105516</v>
      </c>
      <c r="C81" s="334" t="s">
        <v>105573</v>
      </c>
      <c r="D81" s="334" t="s">
        <v>105573</v>
      </c>
      <c r="E81" s="334" t="s">
        <v>105520</v>
      </c>
      <c r="F81" s="334" t="s">
        <v>105541</v>
      </c>
      <c r="G81" s="334" t="s">
        <v>105544</v>
      </c>
      <c r="H81" s="72"/>
      <c r="I81" s="72"/>
      <c r="J81" s="415"/>
      <c r="K81" s="72"/>
      <c r="L81" s="73"/>
      <c r="M81" s="74" t="s">
        <v>112995</v>
      </c>
      <c r="N81" s="75"/>
      <c r="O81" s="75"/>
      <c r="P81" s="76"/>
      <c r="Q81" s="76"/>
      <c r="R81" s="77">
        <f t="shared" ref="R81:T81" si="102">+R82</f>
        <v>10000000</v>
      </c>
      <c r="S81" s="77">
        <f t="shared" si="102"/>
        <v>10000000</v>
      </c>
      <c r="T81" s="77">
        <f t="shared" si="102"/>
        <v>0</v>
      </c>
      <c r="U81" s="78"/>
      <c r="V81" s="78"/>
      <c r="W81" s="72"/>
      <c r="X81" s="77">
        <f t="shared" ref="X81:AI81" si="103">+X82</f>
        <v>0</v>
      </c>
      <c r="Y81" s="77">
        <f t="shared" si="103"/>
        <v>0</v>
      </c>
      <c r="Z81" s="77">
        <f t="shared" si="103"/>
        <v>0</v>
      </c>
      <c r="AA81" s="77">
        <f t="shared" si="103"/>
        <v>0</v>
      </c>
      <c r="AB81" s="77">
        <f t="shared" si="103"/>
        <v>0</v>
      </c>
      <c r="AC81" s="77">
        <f t="shared" si="103"/>
        <v>10000000</v>
      </c>
      <c r="AD81" s="77">
        <f t="shared" si="103"/>
        <v>0</v>
      </c>
      <c r="AE81" s="77">
        <f t="shared" si="103"/>
        <v>0</v>
      </c>
      <c r="AF81" s="77">
        <f t="shared" si="103"/>
        <v>0</v>
      </c>
      <c r="AG81" s="77">
        <f t="shared" si="103"/>
        <v>0</v>
      </c>
      <c r="AH81" s="77">
        <f t="shared" si="103"/>
        <v>0</v>
      </c>
      <c r="AI81" s="77">
        <f t="shared" si="103"/>
        <v>0</v>
      </c>
      <c r="AJ81" s="593">
        <v>0</v>
      </c>
    </row>
    <row r="82" spans="2:36" ht="30" x14ac:dyDescent="0.2">
      <c r="B82" s="80" t="s">
        <v>105516</v>
      </c>
      <c r="C82" s="80" t="s">
        <v>105573</v>
      </c>
      <c r="D82" s="80" t="s">
        <v>105573</v>
      </c>
      <c r="E82" s="80" t="s">
        <v>105520</v>
      </c>
      <c r="F82" s="80" t="s">
        <v>105541</v>
      </c>
      <c r="G82" s="80" t="s">
        <v>105544</v>
      </c>
      <c r="H82" s="80" t="s">
        <v>105520</v>
      </c>
      <c r="I82" s="80"/>
      <c r="J82" s="416"/>
      <c r="K82" s="80"/>
      <c r="L82" s="436"/>
      <c r="M82" s="304" t="s">
        <v>106266</v>
      </c>
      <c r="N82" s="83"/>
      <c r="O82" s="83"/>
      <c r="P82" s="84"/>
      <c r="Q82" s="84"/>
      <c r="R82" s="85">
        <f t="shared" ref="R82:T82" si="104">SUM(R83:R84)</f>
        <v>10000000</v>
      </c>
      <c r="S82" s="85">
        <f t="shared" si="104"/>
        <v>10000000</v>
      </c>
      <c r="T82" s="85">
        <f t="shared" si="104"/>
        <v>0</v>
      </c>
      <c r="U82" s="86"/>
      <c r="V82" s="86"/>
      <c r="W82" s="341"/>
      <c r="X82" s="85">
        <f t="shared" ref="X82:Y82" si="105">SUM(X83:X84)</f>
        <v>0</v>
      </c>
      <c r="Y82" s="85">
        <f t="shared" si="105"/>
        <v>0</v>
      </c>
      <c r="Z82" s="85">
        <f t="shared" ref="Z82:AC82" si="106">SUM(Z83:Z84)</f>
        <v>0</v>
      </c>
      <c r="AA82" s="85">
        <f t="shared" si="106"/>
        <v>0</v>
      </c>
      <c r="AB82" s="85">
        <f t="shared" si="106"/>
        <v>0</v>
      </c>
      <c r="AC82" s="85">
        <f t="shared" si="106"/>
        <v>10000000</v>
      </c>
      <c r="AD82" s="85">
        <f t="shared" ref="AD82:AI82" si="107">SUM(AD83:AD84)</f>
        <v>0</v>
      </c>
      <c r="AE82" s="85">
        <f t="shared" si="107"/>
        <v>0</v>
      </c>
      <c r="AF82" s="85">
        <f t="shared" si="107"/>
        <v>0</v>
      </c>
      <c r="AG82" s="85">
        <f t="shared" si="107"/>
        <v>0</v>
      </c>
      <c r="AH82" s="85">
        <f t="shared" si="107"/>
        <v>0</v>
      </c>
      <c r="AI82" s="85">
        <f t="shared" si="107"/>
        <v>0</v>
      </c>
      <c r="AJ82" s="593">
        <v>0</v>
      </c>
    </row>
    <row r="83" spans="2:36" ht="45" x14ac:dyDescent="0.2">
      <c r="B83" s="88"/>
      <c r="C83" s="89"/>
      <c r="D83" s="89"/>
      <c r="E83" s="89"/>
      <c r="F83" s="89"/>
      <c r="G83" s="89"/>
      <c r="H83" s="89"/>
      <c r="I83" s="89"/>
      <c r="J83" s="89"/>
      <c r="K83" s="96" t="s">
        <v>106726</v>
      </c>
      <c r="L83" s="91">
        <v>43233200</v>
      </c>
      <c r="M83" s="102" t="s">
        <v>113427</v>
      </c>
      <c r="N83" s="93">
        <v>45666</v>
      </c>
      <c r="O83" s="93" t="s">
        <v>113037</v>
      </c>
      <c r="P83" s="94" t="s">
        <v>113040</v>
      </c>
      <c r="Q83" s="441" t="s">
        <v>113052</v>
      </c>
      <c r="R83" s="314">
        <v>10000000</v>
      </c>
      <c r="S83" s="472">
        <v>10000000</v>
      </c>
      <c r="T83" s="472">
        <v>0</v>
      </c>
      <c r="U83" s="96"/>
      <c r="V83" s="97"/>
      <c r="W83" s="96" t="s">
        <v>113003</v>
      </c>
      <c r="X83" s="593"/>
      <c r="Y83" s="593"/>
      <c r="Z83" s="593"/>
      <c r="AA83" s="593"/>
      <c r="AB83" s="593"/>
      <c r="AC83" s="593">
        <v>10000000</v>
      </c>
      <c r="AD83" s="593"/>
      <c r="AE83" s="593"/>
      <c r="AF83" s="593"/>
      <c r="AG83" s="593"/>
      <c r="AH83" s="593"/>
      <c r="AI83" s="593"/>
      <c r="AJ83" s="593">
        <v>0</v>
      </c>
    </row>
    <row r="84" spans="2:36" x14ac:dyDescent="0.2">
      <c r="B84" s="88"/>
      <c r="C84" s="89"/>
      <c r="D84" s="89"/>
      <c r="E84" s="89"/>
      <c r="F84" s="89"/>
      <c r="G84" s="89"/>
      <c r="H84" s="89"/>
      <c r="I84" s="89"/>
      <c r="J84" s="89"/>
      <c r="K84" s="96" t="s">
        <v>106726</v>
      </c>
      <c r="L84" s="91"/>
      <c r="M84" s="92"/>
      <c r="N84" s="93"/>
      <c r="O84" s="93"/>
      <c r="P84" s="94"/>
      <c r="Q84" s="94"/>
      <c r="R84" s="95"/>
      <c r="S84" s="472"/>
      <c r="T84" s="472"/>
      <c r="U84" s="96"/>
      <c r="V84" s="97"/>
      <c r="W84" s="96"/>
      <c r="X84" s="593"/>
      <c r="Y84" s="593"/>
      <c r="Z84" s="593"/>
      <c r="AA84" s="593"/>
      <c r="AB84" s="593"/>
      <c r="AC84" s="593"/>
      <c r="AD84" s="593"/>
      <c r="AE84" s="593"/>
      <c r="AF84" s="593"/>
      <c r="AG84" s="593"/>
      <c r="AH84" s="593"/>
      <c r="AI84" s="593"/>
      <c r="AJ84" s="593">
        <v>0</v>
      </c>
    </row>
    <row r="85" spans="2:36" x14ac:dyDescent="0.2">
      <c r="B85" s="334" t="s">
        <v>105516</v>
      </c>
      <c r="C85" s="334" t="s">
        <v>105573</v>
      </c>
      <c r="D85" s="334" t="s">
        <v>105573</v>
      </c>
      <c r="E85" s="334" t="s">
        <v>105520</v>
      </c>
      <c r="F85" s="334" t="s">
        <v>105541</v>
      </c>
      <c r="G85" s="334" t="s">
        <v>105550</v>
      </c>
      <c r="H85" s="72"/>
      <c r="I85" s="72"/>
      <c r="J85" s="415"/>
      <c r="K85" s="72"/>
      <c r="L85" s="73"/>
      <c r="M85" s="74" t="s">
        <v>106284</v>
      </c>
      <c r="N85" s="75"/>
      <c r="O85" s="75"/>
      <c r="P85" s="76"/>
      <c r="Q85" s="76"/>
      <c r="R85" s="77">
        <f t="shared" ref="R85:T85" si="108">+R86</f>
        <v>260000000</v>
      </c>
      <c r="S85" s="77">
        <f t="shared" si="108"/>
        <v>180000000</v>
      </c>
      <c r="T85" s="77">
        <f t="shared" si="108"/>
        <v>210000000</v>
      </c>
      <c r="U85" s="78"/>
      <c r="V85" s="78"/>
      <c r="W85" s="72"/>
      <c r="X85" s="77">
        <f t="shared" ref="X85:AI85" si="109">+X86</f>
        <v>0</v>
      </c>
      <c r="Y85" s="77">
        <f t="shared" si="109"/>
        <v>0</v>
      </c>
      <c r="Z85" s="77">
        <f t="shared" si="109"/>
        <v>0</v>
      </c>
      <c r="AA85" s="77">
        <f t="shared" si="109"/>
        <v>0</v>
      </c>
      <c r="AB85" s="77">
        <f t="shared" si="109"/>
        <v>0</v>
      </c>
      <c r="AC85" s="77">
        <f t="shared" si="109"/>
        <v>0</v>
      </c>
      <c r="AD85" s="77">
        <f t="shared" si="109"/>
        <v>0</v>
      </c>
      <c r="AE85" s="77">
        <f t="shared" si="109"/>
        <v>0</v>
      </c>
      <c r="AF85" s="77">
        <f t="shared" si="109"/>
        <v>0</v>
      </c>
      <c r="AG85" s="77">
        <f t="shared" si="109"/>
        <v>0</v>
      </c>
      <c r="AH85" s="77">
        <f t="shared" si="109"/>
        <v>0</v>
      </c>
      <c r="AI85" s="77">
        <f t="shared" si="109"/>
        <v>0</v>
      </c>
      <c r="AJ85" s="593">
        <v>0</v>
      </c>
    </row>
    <row r="86" spans="2:36" x14ac:dyDescent="0.2">
      <c r="B86" s="80" t="s">
        <v>105516</v>
      </c>
      <c r="C86" s="80" t="s">
        <v>105573</v>
      </c>
      <c r="D86" s="80" t="s">
        <v>105573</v>
      </c>
      <c r="E86" s="80" t="s">
        <v>105520</v>
      </c>
      <c r="F86" s="80" t="s">
        <v>105541</v>
      </c>
      <c r="G86" s="80" t="s">
        <v>105550</v>
      </c>
      <c r="H86" s="80" t="s">
        <v>106106</v>
      </c>
      <c r="I86" s="80"/>
      <c r="J86" s="416"/>
      <c r="K86" s="80"/>
      <c r="L86" s="436"/>
      <c r="M86" s="82" t="s">
        <v>106408</v>
      </c>
      <c r="N86" s="83"/>
      <c r="O86" s="83"/>
      <c r="P86" s="84"/>
      <c r="Q86" s="84"/>
      <c r="R86" s="85">
        <f>SUM(R87:R91)</f>
        <v>260000000</v>
      </c>
      <c r="S86" s="85">
        <f>SUM(S87:S91)</f>
        <v>180000000</v>
      </c>
      <c r="T86" s="85">
        <f>SUM(T87:T91)</f>
        <v>210000000</v>
      </c>
      <c r="U86" s="86"/>
      <c r="V86" s="86"/>
      <c r="W86" s="341"/>
      <c r="X86" s="85">
        <f t="shared" ref="X86:AI86" si="110">SUM(X87:X91)</f>
        <v>0</v>
      </c>
      <c r="Y86" s="85">
        <f t="shared" si="110"/>
        <v>0</v>
      </c>
      <c r="Z86" s="85">
        <f t="shared" si="110"/>
        <v>0</v>
      </c>
      <c r="AA86" s="85">
        <f t="shared" si="110"/>
        <v>0</v>
      </c>
      <c r="AB86" s="85">
        <f t="shared" si="110"/>
        <v>0</v>
      </c>
      <c r="AC86" s="85">
        <f t="shared" si="110"/>
        <v>0</v>
      </c>
      <c r="AD86" s="85">
        <f t="shared" si="110"/>
        <v>0</v>
      </c>
      <c r="AE86" s="85">
        <f t="shared" si="110"/>
        <v>0</v>
      </c>
      <c r="AF86" s="85">
        <f t="shared" si="110"/>
        <v>0</v>
      </c>
      <c r="AG86" s="85">
        <f t="shared" si="110"/>
        <v>0</v>
      </c>
      <c r="AH86" s="85">
        <f t="shared" si="110"/>
        <v>0</v>
      </c>
      <c r="AI86" s="85">
        <f t="shared" si="110"/>
        <v>0</v>
      </c>
      <c r="AJ86" s="593">
        <v>0</v>
      </c>
    </row>
    <row r="87" spans="2:36" ht="45" x14ac:dyDescent="0.2">
      <c r="B87" s="88"/>
      <c r="C87" s="89"/>
      <c r="D87" s="89"/>
      <c r="E87" s="89"/>
      <c r="F87" s="89"/>
      <c r="G87" s="89"/>
      <c r="H87" s="89"/>
      <c r="I87" s="89"/>
      <c r="J87" s="89"/>
      <c r="K87" s="96" t="s">
        <v>106736</v>
      </c>
      <c r="L87" s="55">
        <v>43231500</v>
      </c>
      <c r="M87" s="92" t="s">
        <v>113428</v>
      </c>
      <c r="N87" s="93">
        <v>45886</v>
      </c>
      <c r="O87" s="93" t="s">
        <v>113078</v>
      </c>
      <c r="P87" s="94" t="s">
        <v>113045</v>
      </c>
      <c r="Q87" s="94" t="s">
        <v>112999</v>
      </c>
      <c r="R87" s="314">
        <v>80000000</v>
      </c>
      <c r="S87" s="472">
        <v>0</v>
      </c>
      <c r="T87" s="472">
        <f>80000000+55000000</f>
        <v>135000000</v>
      </c>
      <c r="U87" s="96"/>
      <c r="V87" s="97"/>
      <c r="W87" s="96" t="s">
        <v>113003</v>
      </c>
      <c r="X87" s="593"/>
      <c r="Y87" s="593"/>
      <c r="Z87" s="593"/>
      <c r="AA87" s="593"/>
      <c r="AB87" s="593"/>
      <c r="AC87" s="593"/>
      <c r="AD87" s="593"/>
      <c r="AE87" s="593"/>
      <c r="AF87" s="593"/>
      <c r="AG87" s="593"/>
      <c r="AH87" s="593"/>
      <c r="AI87" s="593"/>
      <c r="AJ87" s="593">
        <v>0</v>
      </c>
    </row>
    <row r="88" spans="2:36" ht="45" x14ac:dyDescent="0.2">
      <c r="B88" s="88"/>
      <c r="C88" s="89"/>
      <c r="D88" s="89"/>
      <c r="E88" s="89"/>
      <c r="F88" s="89"/>
      <c r="G88" s="89"/>
      <c r="H88" s="89"/>
      <c r="I88" s="89"/>
      <c r="J88" s="89"/>
      <c r="K88" s="96" t="s">
        <v>106736</v>
      </c>
      <c r="L88" s="91" t="s">
        <v>113429</v>
      </c>
      <c r="M88" s="92" t="s">
        <v>113430</v>
      </c>
      <c r="N88" s="93">
        <v>45705</v>
      </c>
      <c r="O88" s="93" t="s">
        <v>113001</v>
      </c>
      <c r="P88" s="94" t="s">
        <v>113040</v>
      </c>
      <c r="Q88" s="94" t="s">
        <v>112999</v>
      </c>
      <c r="R88" s="314">
        <v>180000000</v>
      </c>
      <c r="S88" s="472">
        <v>180000000</v>
      </c>
      <c r="T88" s="472">
        <v>0</v>
      </c>
      <c r="U88" s="96"/>
      <c r="V88" s="97"/>
      <c r="W88" s="96" t="s">
        <v>113003</v>
      </c>
      <c r="X88" s="593"/>
      <c r="Y88" s="593"/>
      <c r="Z88" s="593"/>
      <c r="AA88" s="593"/>
      <c r="AB88" s="593"/>
      <c r="AC88" s="593"/>
      <c r="AD88" s="593"/>
      <c r="AE88" s="593"/>
      <c r="AF88" s="593"/>
      <c r="AG88" s="593"/>
      <c r="AH88" s="593"/>
      <c r="AI88" s="593"/>
      <c r="AJ88" s="593">
        <v>0</v>
      </c>
    </row>
    <row r="89" spans="2:36" ht="30" x14ac:dyDescent="0.2">
      <c r="B89" s="88"/>
      <c r="C89" s="89"/>
      <c r="D89" s="89"/>
      <c r="E89" s="89"/>
      <c r="F89" s="89"/>
      <c r="G89" s="89"/>
      <c r="H89" s="89"/>
      <c r="I89" s="89"/>
      <c r="J89" s="89"/>
      <c r="K89" s="96" t="s">
        <v>106736</v>
      </c>
      <c r="L89" s="91">
        <v>43233200</v>
      </c>
      <c r="M89" s="102" t="s">
        <v>113245</v>
      </c>
      <c r="N89" s="93">
        <v>45306</v>
      </c>
      <c r="O89" s="93" t="s">
        <v>113037</v>
      </c>
      <c r="P89" s="94" t="s">
        <v>113022</v>
      </c>
      <c r="Q89" s="94" t="s">
        <v>113053</v>
      </c>
      <c r="R89" s="95">
        <v>0</v>
      </c>
      <c r="S89" s="472">
        <v>0</v>
      </c>
      <c r="T89" s="472">
        <v>0</v>
      </c>
      <c r="U89" s="103"/>
      <c r="V89" s="125"/>
      <c r="W89" s="96"/>
      <c r="X89" s="593"/>
      <c r="Y89" s="593"/>
      <c r="Z89" s="593"/>
      <c r="AA89" s="593"/>
      <c r="AB89" s="593"/>
      <c r="AC89" s="593"/>
      <c r="AD89" s="593"/>
      <c r="AE89" s="593"/>
      <c r="AF89" s="593"/>
      <c r="AG89" s="593"/>
      <c r="AH89" s="593"/>
      <c r="AI89" s="593"/>
      <c r="AJ89" s="593">
        <v>0</v>
      </c>
    </row>
    <row r="90" spans="2:36" ht="45" x14ac:dyDescent="0.2">
      <c r="B90" s="88"/>
      <c r="C90" s="89"/>
      <c r="D90" s="89"/>
      <c r="E90" s="89"/>
      <c r="F90" s="89"/>
      <c r="G90" s="89"/>
      <c r="H90" s="89"/>
      <c r="I90" s="89"/>
      <c r="J90" s="89"/>
      <c r="K90" s="96" t="s">
        <v>106736</v>
      </c>
      <c r="L90" s="91" t="s">
        <v>113821</v>
      </c>
      <c r="M90" s="92" t="s">
        <v>113694</v>
      </c>
      <c r="N90" s="93">
        <v>45913</v>
      </c>
      <c r="O90" s="93" t="s">
        <v>113070</v>
      </c>
      <c r="P90" s="94" t="s">
        <v>113045</v>
      </c>
      <c r="Q90" s="94" t="s">
        <v>112999</v>
      </c>
      <c r="R90" s="95">
        <v>0</v>
      </c>
      <c r="S90" s="472">
        <v>0</v>
      </c>
      <c r="T90" s="472">
        <v>75000000</v>
      </c>
      <c r="U90" s="126"/>
      <c r="V90" s="97"/>
      <c r="W90" s="96" t="s">
        <v>113003</v>
      </c>
      <c r="X90" s="593"/>
      <c r="Y90" s="593"/>
      <c r="Z90" s="593"/>
      <c r="AA90" s="593"/>
      <c r="AB90" s="593"/>
      <c r="AC90" s="593"/>
      <c r="AD90" s="593"/>
      <c r="AE90" s="593"/>
      <c r="AF90" s="593"/>
      <c r="AG90" s="593"/>
      <c r="AH90" s="593"/>
      <c r="AI90" s="593"/>
      <c r="AJ90" s="593">
        <v>0</v>
      </c>
    </row>
    <row r="91" spans="2:36" ht="30" x14ac:dyDescent="0.2">
      <c r="B91" s="88"/>
      <c r="C91" s="89"/>
      <c r="D91" s="89"/>
      <c r="E91" s="89"/>
      <c r="F91" s="89"/>
      <c r="G91" s="89"/>
      <c r="H91" s="89"/>
      <c r="I91" s="89"/>
      <c r="J91" s="89"/>
      <c r="K91" s="96" t="s">
        <v>106736</v>
      </c>
      <c r="L91" s="55">
        <v>43231500</v>
      </c>
      <c r="M91" s="92" t="s">
        <v>113345</v>
      </c>
      <c r="N91" s="93"/>
      <c r="O91" s="93"/>
      <c r="P91" s="94"/>
      <c r="Q91" s="94" t="s">
        <v>113104</v>
      </c>
      <c r="R91" s="95">
        <v>0</v>
      </c>
      <c r="S91" s="472">
        <v>0</v>
      </c>
      <c r="T91" s="472">
        <v>0</v>
      </c>
      <c r="U91" s="96"/>
      <c r="V91" s="97"/>
      <c r="W91" s="96"/>
      <c r="X91" s="593"/>
      <c r="Y91" s="593"/>
      <c r="Z91" s="593"/>
      <c r="AA91" s="593"/>
      <c r="AB91" s="593"/>
      <c r="AC91" s="593"/>
      <c r="AD91" s="593"/>
      <c r="AE91" s="593"/>
      <c r="AF91" s="593"/>
      <c r="AG91" s="593"/>
      <c r="AH91" s="593"/>
      <c r="AI91" s="593"/>
      <c r="AJ91" s="593">
        <v>0</v>
      </c>
    </row>
    <row r="92" spans="2:36" ht="30" x14ac:dyDescent="0.2">
      <c r="B92" s="334" t="s">
        <v>105516</v>
      </c>
      <c r="C92" s="334" t="s">
        <v>105573</v>
      </c>
      <c r="D92" s="334" t="s">
        <v>105573</v>
      </c>
      <c r="E92" s="334" t="s">
        <v>105520</v>
      </c>
      <c r="F92" s="334" t="s">
        <v>105541</v>
      </c>
      <c r="G92" s="334" t="s">
        <v>105553</v>
      </c>
      <c r="H92" s="72"/>
      <c r="I92" s="72"/>
      <c r="J92" s="415"/>
      <c r="K92" s="72"/>
      <c r="L92" s="73"/>
      <c r="M92" s="74" t="s">
        <v>106300</v>
      </c>
      <c r="N92" s="75"/>
      <c r="O92" s="75"/>
      <c r="P92" s="76"/>
      <c r="Q92" s="76"/>
      <c r="R92" s="77">
        <f>+R93+R95</f>
        <v>12000000</v>
      </c>
      <c r="S92" s="77">
        <f>+S93+S95</f>
        <v>0</v>
      </c>
      <c r="T92" s="77">
        <f>+T93+T95</f>
        <v>12000000</v>
      </c>
      <c r="U92" s="78"/>
      <c r="V92" s="78"/>
      <c r="W92" s="72"/>
      <c r="X92" s="77">
        <f t="shared" ref="X92:AI92" si="111">+X93+X95</f>
        <v>0</v>
      </c>
      <c r="Y92" s="77">
        <f t="shared" si="111"/>
        <v>0</v>
      </c>
      <c r="Z92" s="77">
        <f t="shared" si="111"/>
        <v>0</v>
      </c>
      <c r="AA92" s="77">
        <f t="shared" si="111"/>
        <v>0</v>
      </c>
      <c r="AB92" s="77">
        <f t="shared" si="111"/>
        <v>0</v>
      </c>
      <c r="AC92" s="77">
        <f t="shared" si="111"/>
        <v>0</v>
      </c>
      <c r="AD92" s="77">
        <f t="shared" si="111"/>
        <v>0</v>
      </c>
      <c r="AE92" s="77">
        <f t="shared" si="111"/>
        <v>0</v>
      </c>
      <c r="AF92" s="77">
        <f t="shared" si="111"/>
        <v>0</v>
      </c>
      <c r="AG92" s="77">
        <f t="shared" si="111"/>
        <v>0</v>
      </c>
      <c r="AH92" s="77">
        <f t="shared" si="111"/>
        <v>0</v>
      </c>
      <c r="AI92" s="77">
        <f t="shared" si="111"/>
        <v>0</v>
      </c>
      <c r="AJ92" s="593">
        <v>0</v>
      </c>
    </row>
    <row r="93" spans="2:36" ht="60" x14ac:dyDescent="0.2">
      <c r="B93" s="80" t="s">
        <v>105516</v>
      </c>
      <c r="C93" s="80" t="s">
        <v>105573</v>
      </c>
      <c r="D93" s="80" t="s">
        <v>105573</v>
      </c>
      <c r="E93" s="80" t="s">
        <v>105520</v>
      </c>
      <c r="F93" s="80" t="s">
        <v>105541</v>
      </c>
      <c r="G93" s="80" t="s">
        <v>105553</v>
      </c>
      <c r="H93" s="80" t="s">
        <v>105573</v>
      </c>
      <c r="I93" s="80"/>
      <c r="J93" s="416"/>
      <c r="K93" s="80"/>
      <c r="L93" s="436"/>
      <c r="M93" s="82" t="s">
        <v>106304</v>
      </c>
      <c r="N93" s="83"/>
      <c r="O93" s="83"/>
      <c r="P93" s="84"/>
      <c r="Q93" s="84"/>
      <c r="R93" s="85">
        <f>+R94</f>
        <v>12000000</v>
      </c>
      <c r="S93" s="85">
        <f>+S94</f>
        <v>0</v>
      </c>
      <c r="T93" s="85">
        <f>+T94</f>
        <v>12000000</v>
      </c>
      <c r="U93" s="86"/>
      <c r="V93" s="86"/>
      <c r="W93" s="341"/>
      <c r="X93" s="85">
        <f t="shared" ref="X93:AI93" si="112">+X94</f>
        <v>0</v>
      </c>
      <c r="Y93" s="85">
        <f t="shared" si="112"/>
        <v>0</v>
      </c>
      <c r="Z93" s="85">
        <f t="shared" si="112"/>
        <v>0</v>
      </c>
      <c r="AA93" s="85">
        <f t="shared" si="112"/>
        <v>0</v>
      </c>
      <c r="AB93" s="85">
        <f t="shared" si="112"/>
        <v>0</v>
      </c>
      <c r="AC93" s="85">
        <f t="shared" si="112"/>
        <v>0</v>
      </c>
      <c r="AD93" s="85">
        <f t="shared" si="112"/>
        <v>0</v>
      </c>
      <c r="AE93" s="85">
        <f t="shared" si="112"/>
        <v>0</v>
      </c>
      <c r="AF93" s="85">
        <f t="shared" si="112"/>
        <v>0</v>
      </c>
      <c r="AG93" s="85">
        <f t="shared" si="112"/>
        <v>0</v>
      </c>
      <c r="AH93" s="85">
        <f t="shared" si="112"/>
        <v>0</v>
      </c>
      <c r="AI93" s="85">
        <f t="shared" si="112"/>
        <v>0</v>
      </c>
      <c r="AJ93" s="593">
        <v>0</v>
      </c>
    </row>
    <row r="94" spans="2:36" ht="150" x14ac:dyDescent="0.2">
      <c r="B94" s="88"/>
      <c r="C94" s="89"/>
      <c r="D94" s="89"/>
      <c r="E94" s="89"/>
      <c r="F94" s="89"/>
      <c r="G94" s="89"/>
      <c r="H94" s="89"/>
      <c r="I94" s="89"/>
      <c r="J94" s="89"/>
      <c r="K94" s="96" t="s">
        <v>106745</v>
      </c>
      <c r="L94" s="91" t="s">
        <v>113241</v>
      </c>
      <c r="M94" s="102" t="s">
        <v>113712</v>
      </c>
      <c r="N94" s="440">
        <v>45839</v>
      </c>
      <c r="O94" s="441" t="s">
        <v>113010</v>
      </c>
      <c r="P94" s="441" t="s">
        <v>113155</v>
      </c>
      <c r="Q94" s="441" t="s">
        <v>112999</v>
      </c>
      <c r="R94" s="314">
        <v>12000000</v>
      </c>
      <c r="S94" s="472">
        <v>0</v>
      </c>
      <c r="T94" s="472">
        <v>12000000</v>
      </c>
      <c r="U94" s="96"/>
      <c r="V94" s="97"/>
      <c r="W94" s="96" t="s">
        <v>113019</v>
      </c>
      <c r="X94" s="593"/>
      <c r="Y94" s="593"/>
      <c r="Z94" s="593"/>
      <c r="AA94" s="593"/>
      <c r="AB94" s="593"/>
      <c r="AC94" s="593"/>
      <c r="AD94" s="593"/>
      <c r="AE94" s="593"/>
      <c r="AF94" s="593"/>
      <c r="AG94" s="593"/>
      <c r="AH94" s="593"/>
      <c r="AI94" s="593"/>
      <c r="AJ94" s="593">
        <v>0</v>
      </c>
    </row>
    <row r="95" spans="2:36" ht="30" x14ac:dyDescent="0.2">
      <c r="B95" s="80" t="s">
        <v>105516</v>
      </c>
      <c r="C95" s="80" t="s">
        <v>105573</v>
      </c>
      <c r="D95" s="80" t="s">
        <v>105573</v>
      </c>
      <c r="E95" s="80" t="s">
        <v>105520</v>
      </c>
      <c r="F95" s="80" t="s">
        <v>105541</v>
      </c>
      <c r="G95" s="80" t="s">
        <v>105553</v>
      </c>
      <c r="H95" s="80" t="s">
        <v>105675</v>
      </c>
      <c r="I95" s="80"/>
      <c r="J95" s="416"/>
      <c r="K95" s="80"/>
      <c r="L95" s="436"/>
      <c r="M95" s="82" t="s">
        <v>106306</v>
      </c>
      <c r="N95" s="83"/>
      <c r="O95" s="83"/>
      <c r="P95" s="84"/>
      <c r="Q95" s="84"/>
      <c r="R95" s="85">
        <f t="shared" ref="R95:T95" si="113">+R96</f>
        <v>0</v>
      </c>
      <c r="S95" s="85">
        <f t="shared" si="113"/>
        <v>0</v>
      </c>
      <c r="T95" s="85">
        <f t="shared" si="113"/>
        <v>0</v>
      </c>
      <c r="U95" s="86"/>
      <c r="V95" s="86"/>
      <c r="W95" s="341"/>
      <c r="X95" s="85">
        <f t="shared" ref="X95:AI95" si="114">+X96</f>
        <v>0</v>
      </c>
      <c r="Y95" s="85">
        <f t="shared" si="114"/>
        <v>0</v>
      </c>
      <c r="Z95" s="85">
        <f t="shared" si="114"/>
        <v>0</v>
      </c>
      <c r="AA95" s="85">
        <f t="shared" si="114"/>
        <v>0</v>
      </c>
      <c r="AB95" s="85">
        <f t="shared" si="114"/>
        <v>0</v>
      </c>
      <c r="AC95" s="85">
        <f t="shared" si="114"/>
        <v>0</v>
      </c>
      <c r="AD95" s="85">
        <f t="shared" si="114"/>
        <v>0</v>
      </c>
      <c r="AE95" s="85">
        <f t="shared" si="114"/>
        <v>0</v>
      </c>
      <c r="AF95" s="85">
        <f t="shared" si="114"/>
        <v>0</v>
      </c>
      <c r="AG95" s="85">
        <f t="shared" si="114"/>
        <v>0</v>
      </c>
      <c r="AH95" s="85">
        <f t="shared" si="114"/>
        <v>0</v>
      </c>
      <c r="AI95" s="85">
        <f t="shared" si="114"/>
        <v>0</v>
      </c>
      <c r="AJ95" s="593">
        <v>0</v>
      </c>
    </row>
    <row r="96" spans="2:36" x14ac:dyDescent="0.2">
      <c r="B96" s="88"/>
      <c r="C96" s="89"/>
      <c r="D96" s="89"/>
      <c r="E96" s="89"/>
      <c r="F96" s="89"/>
      <c r="G96" s="89"/>
      <c r="H96" s="89"/>
      <c r="I96" s="89"/>
      <c r="J96" s="89"/>
      <c r="K96" s="96"/>
      <c r="L96" s="127"/>
      <c r="M96" s="120"/>
      <c r="N96" s="121"/>
      <c r="O96" s="93"/>
      <c r="P96" s="94"/>
      <c r="Q96" s="94"/>
      <c r="R96" s="95"/>
      <c r="S96" s="474"/>
      <c r="T96" s="474"/>
      <c r="U96" s="398"/>
      <c r="V96" s="454"/>
      <c r="W96" s="96"/>
      <c r="X96" s="595"/>
      <c r="Y96" s="595"/>
      <c r="Z96" s="595"/>
      <c r="AA96" s="595"/>
      <c r="AB96" s="595"/>
      <c r="AC96" s="595"/>
      <c r="AD96" s="595"/>
      <c r="AE96" s="595"/>
      <c r="AF96" s="595"/>
      <c r="AG96" s="595"/>
      <c r="AH96" s="595"/>
      <c r="AI96" s="595"/>
      <c r="AJ96" s="593">
        <v>0</v>
      </c>
    </row>
    <row r="97" spans="2:36" x14ac:dyDescent="0.2">
      <c r="B97" s="54" t="s">
        <v>105516</v>
      </c>
      <c r="C97" s="54" t="s">
        <v>105573</v>
      </c>
      <c r="D97" s="54" t="s">
        <v>105573</v>
      </c>
      <c r="E97" s="54" t="s">
        <v>105573</v>
      </c>
      <c r="F97" s="54"/>
      <c r="G97" s="54"/>
      <c r="H97" s="54"/>
      <c r="I97" s="54"/>
      <c r="J97" s="413"/>
      <c r="K97" s="54"/>
      <c r="L97" s="55"/>
      <c r="M97" s="56" t="s">
        <v>106777</v>
      </c>
      <c r="N97" s="57"/>
      <c r="O97" s="57"/>
      <c r="P97" s="58"/>
      <c r="Q97" s="58"/>
      <c r="R97" s="59">
        <f>+R98+R109+R116+R183</f>
        <v>3111280000</v>
      </c>
      <c r="S97" s="59">
        <f>+S98+S109+S116+S183</f>
        <v>2574600000</v>
      </c>
      <c r="T97" s="59">
        <f>+T98+T109+T116+T183</f>
        <v>1013000000</v>
      </c>
      <c r="U97" s="60"/>
      <c r="V97" s="60"/>
      <c r="W97" s="397"/>
      <c r="X97" s="59">
        <f t="shared" ref="X97:AI97" si="115">+X98+X109+X116+X183</f>
        <v>31200000</v>
      </c>
      <c r="Y97" s="59">
        <f t="shared" si="115"/>
        <v>66200000</v>
      </c>
      <c r="Z97" s="59">
        <f t="shared" si="115"/>
        <v>81700000</v>
      </c>
      <c r="AA97" s="59">
        <f t="shared" si="115"/>
        <v>89200000</v>
      </c>
      <c r="AB97" s="59">
        <f t="shared" si="115"/>
        <v>81700000</v>
      </c>
      <c r="AC97" s="59">
        <f t="shared" si="115"/>
        <v>166700000</v>
      </c>
      <c r="AD97" s="59">
        <f t="shared" si="115"/>
        <v>50500000</v>
      </c>
      <c r="AE97" s="59">
        <f t="shared" si="115"/>
        <v>40500000</v>
      </c>
      <c r="AF97" s="59">
        <f t="shared" si="115"/>
        <v>15500000</v>
      </c>
      <c r="AG97" s="59">
        <f t="shared" si="115"/>
        <v>15500000</v>
      </c>
      <c r="AH97" s="59">
        <f t="shared" si="115"/>
        <v>133000000</v>
      </c>
      <c r="AI97" s="59">
        <f t="shared" si="115"/>
        <v>15500000</v>
      </c>
      <c r="AJ97" s="593">
        <v>0</v>
      </c>
    </row>
    <row r="98" spans="2:36" ht="75" customHeight="1" x14ac:dyDescent="0.2">
      <c r="B98" s="63" t="s">
        <v>105516</v>
      </c>
      <c r="C98" s="63" t="s">
        <v>105573</v>
      </c>
      <c r="D98" s="63" t="s">
        <v>105573</v>
      </c>
      <c r="E98" s="63" t="s">
        <v>105573</v>
      </c>
      <c r="F98" s="63" t="s">
        <v>105547</v>
      </c>
      <c r="G98" s="63"/>
      <c r="H98" s="63"/>
      <c r="I98" s="63"/>
      <c r="J98" s="414"/>
      <c r="K98" s="254"/>
      <c r="L98" s="65"/>
      <c r="M98" s="306" t="s">
        <v>113227</v>
      </c>
      <c r="N98" s="67"/>
      <c r="O98" s="67"/>
      <c r="P98" s="68"/>
      <c r="Q98" s="68"/>
      <c r="R98" s="69">
        <f t="shared" ref="R98:T98" si="116">+R99+R103+R106</f>
        <v>654500000</v>
      </c>
      <c r="S98" s="69">
        <f t="shared" si="116"/>
        <v>397600000</v>
      </c>
      <c r="T98" s="69">
        <f t="shared" si="116"/>
        <v>300000000</v>
      </c>
      <c r="U98" s="70"/>
      <c r="V98" s="70"/>
      <c r="W98" s="254"/>
      <c r="X98" s="69">
        <f t="shared" ref="X98:Y98" si="117">+X99+X103+X106</f>
        <v>0</v>
      </c>
      <c r="Y98" s="69">
        <f t="shared" si="117"/>
        <v>0</v>
      </c>
      <c r="Z98" s="69">
        <f t="shared" ref="Z98:AC98" si="118">+Z99+Z103+Z106</f>
        <v>0</v>
      </c>
      <c r="AA98" s="69">
        <f t="shared" si="118"/>
        <v>0</v>
      </c>
      <c r="AB98" s="69">
        <f t="shared" si="118"/>
        <v>0</v>
      </c>
      <c r="AC98" s="69">
        <f t="shared" si="118"/>
        <v>0</v>
      </c>
      <c r="AD98" s="69">
        <f t="shared" ref="AD98:AI98" si="119">+AD99+AD103+AD106</f>
        <v>0</v>
      </c>
      <c r="AE98" s="69">
        <f t="shared" si="119"/>
        <v>0</v>
      </c>
      <c r="AF98" s="69">
        <f t="shared" si="119"/>
        <v>0</v>
      </c>
      <c r="AG98" s="69">
        <f t="shared" si="119"/>
        <v>0</v>
      </c>
      <c r="AH98" s="69">
        <f t="shared" si="119"/>
        <v>0</v>
      </c>
      <c r="AI98" s="69">
        <f t="shared" si="119"/>
        <v>0</v>
      </c>
      <c r="AJ98" s="593">
        <v>0</v>
      </c>
    </row>
    <row r="99" spans="2:36" x14ac:dyDescent="0.2">
      <c r="B99" s="334" t="s">
        <v>105516</v>
      </c>
      <c r="C99" s="334" t="s">
        <v>105573</v>
      </c>
      <c r="D99" s="334" t="s">
        <v>105573</v>
      </c>
      <c r="E99" s="334" t="s">
        <v>105573</v>
      </c>
      <c r="F99" s="334" t="s">
        <v>105547</v>
      </c>
      <c r="G99" s="334" t="s">
        <v>105541</v>
      </c>
      <c r="H99" s="72"/>
      <c r="I99" s="72"/>
      <c r="J99" s="415"/>
      <c r="K99" s="72"/>
      <c r="L99" s="73"/>
      <c r="M99" s="74" t="s">
        <v>106829</v>
      </c>
      <c r="N99" s="75"/>
      <c r="O99" s="75"/>
      <c r="P99" s="76"/>
      <c r="Q99" s="76"/>
      <c r="R99" s="77">
        <f t="shared" ref="R99:T99" si="120">SUM(R100:R102)</f>
        <v>53000000</v>
      </c>
      <c r="S99" s="77">
        <f t="shared" si="120"/>
        <v>48000000</v>
      </c>
      <c r="T99" s="77">
        <f t="shared" si="120"/>
        <v>0</v>
      </c>
      <c r="U99" s="78"/>
      <c r="V99" s="78"/>
      <c r="W99" s="72"/>
      <c r="X99" s="77"/>
      <c r="Y99" s="77"/>
      <c r="Z99" s="77"/>
      <c r="AA99" s="77"/>
      <c r="AB99" s="77"/>
      <c r="AC99" s="77"/>
      <c r="AD99" s="77"/>
      <c r="AE99" s="77"/>
      <c r="AF99" s="77"/>
      <c r="AG99" s="77"/>
      <c r="AH99" s="77"/>
      <c r="AI99" s="77"/>
      <c r="AJ99" s="593">
        <v>0</v>
      </c>
    </row>
    <row r="100" spans="2:36" x14ac:dyDescent="0.2">
      <c r="B100" s="88"/>
      <c r="C100" s="89"/>
      <c r="D100" s="89"/>
      <c r="E100" s="89"/>
      <c r="F100" s="89"/>
      <c r="G100" s="89"/>
      <c r="H100" s="89"/>
      <c r="I100" s="89"/>
      <c r="J100" s="89"/>
      <c r="K100" s="96" t="s">
        <v>106828</v>
      </c>
      <c r="L100" s="91"/>
      <c r="M100" s="92" t="s">
        <v>113062</v>
      </c>
      <c r="N100" s="93" t="s">
        <v>113031</v>
      </c>
      <c r="O100" s="93" t="s">
        <v>113031</v>
      </c>
      <c r="P100" s="93" t="s">
        <v>113031</v>
      </c>
      <c r="Q100" s="93" t="s">
        <v>113031</v>
      </c>
      <c r="R100" s="314">
        <v>7000000</v>
      </c>
      <c r="S100" s="472">
        <v>4000000</v>
      </c>
      <c r="T100" s="472">
        <v>0</v>
      </c>
      <c r="U100" s="96"/>
      <c r="V100" s="97"/>
      <c r="W100" s="96"/>
      <c r="X100" s="593"/>
      <c r="Y100" s="593"/>
      <c r="Z100" s="593"/>
      <c r="AA100" s="593"/>
      <c r="AB100" s="593"/>
      <c r="AC100" s="593"/>
      <c r="AD100" s="593"/>
      <c r="AE100" s="593"/>
      <c r="AF100" s="593"/>
      <c r="AG100" s="593"/>
      <c r="AH100" s="593"/>
      <c r="AI100" s="593"/>
      <c r="AJ100" s="593">
        <v>0</v>
      </c>
    </row>
    <row r="101" spans="2:36" ht="30" x14ac:dyDescent="0.2">
      <c r="B101" s="88"/>
      <c r="C101" s="89"/>
      <c r="D101" s="89"/>
      <c r="E101" s="89"/>
      <c r="F101" s="89"/>
      <c r="G101" s="89"/>
      <c r="H101" s="89"/>
      <c r="I101" s="89"/>
      <c r="J101" s="89"/>
      <c r="K101" s="96" t="s">
        <v>106828</v>
      </c>
      <c r="L101" s="91" t="s">
        <v>113250</v>
      </c>
      <c r="M101" s="92" t="s">
        <v>113059</v>
      </c>
      <c r="N101" s="93">
        <v>45660</v>
      </c>
      <c r="O101" s="93" t="s">
        <v>113060</v>
      </c>
      <c r="P101" s="94" t="s">
        <v>113011</v>
      </c>
      <c r="Q101" s="94" t="s">
        <v>113008</v>
      </c>
      <c r="R101" s="314">
        <v>40000000</v>
      </c>
      <c r="S101" s="472">
        <v>40000000</v>
      </c>
      <c r="T101" s="472">
        <v>0</v>
      </c>
      <c r="U101" s="96"/>
      <c r="V101" s="97"/>
      <c r="W101" s="96" t="s">
        <v>113035</v>
      </c>
      <c r="X101" s="593"/>
      <c r="Y101" s="593"/>
      <c r="Z101" s="593"/>
      <c r="AA101" s="593"/>
      <c r="AB101" s="593"/>
      <c r="AC101" s="593"/>
      <c r="AD101" s="593"/>
      <c r="AE101" s="593"/>
      <c r="AF101" s="593"/>
      <c r="AG101" s="593"/>
      <c r="AH101" s="593"/>
      <c r="AI101" s="593"/>
      <c r="AJ101" s="593">
        <v>0</v>
      </c>
    </row>
    <row r="102" spans="2:36" x14ac:dyDescent="0.2">
      <c r="B102" s="88"/>
      <c r="C102" s="89"/>
      <c r="D102" s="89"/>
      <c r="E102" s="89"/>
      <c r="F102" s="89"/>
      <c r="G102" s="89"/>
      <c r="H102" s="89"/>
      <c r="I102" s="89"/>
      <c r="J102" s="89"/>
      <c r="K102" s="96" t="s">
        <v>106828</v>
      </c>
      <c r="L102" s="127">
        <v>78111800</v>
      </c>
      <c r="M102" s="92" t="s">
        <v>113061</v>
      </c>
      <c r="N102" s="93">
        <v>45678</v>
      </c>
      <c r="O102" s="93" t="s">
        <v>113037</v>
      </c>
      <c r="P102" s="93" t="s">
        <v>113011</v>
      </c>
      <c r="Q102" s="93" t="s">
        <v>113052</v>
      </c>
      <c r="R102" s="314">
        <v>6000000</v>
      </c>
      <c r="S102" s="472">
        <v>4000000</v>
      </c>
      <c r="T102" s="472">
        <v>0</v>
      </c>
      <c r="U102" s="96"/>
      <c r="V102" s="97"/>
      <c r="W102" s="96" t="s">
        <v>113035</v>
      </c>
      <c r="X102" s="593"/>
      <c r="Y102" s="593"/>
      <c r="Z102" s="593"/>
      <c r="AA102" s="593"/>
      <c r="AB102" s="593"/>
      <c r="AC102" s="593"/>
      <c r="AD102" s="593"/>
      <c r="AE102" s="593"/>
      <c r="AF102" s="593"/>
      <c r="AG102" s="593"/>
      <c r="AH102" s="593"/>
      <c r="AI102" s="593"/>
      <c r="AJ102" s="593">
        <v>0</v>
      </c>
    </row>
    <row r="103" spans="2:36" x14ac:dyDescent="0.2">
      <c r="B103" s="334" t="s">
        <v>105516</v>
      </c>
      <c r="C103" s="334" t="s">
        <v>105573</v>
      </c>
      <c r="D103" s="334" t="s">
        <v>105573</v>
      </c>
      <c r="E103" s="334" t="s">
        <v>105573</v>
      </c>
      <c r="F103" s="334" t="s">
        <v>105547</v>
      </c>
      <c r="G103" s="334" t="s">
        <v>105553</v>
      </c>
      <c r="H103" s="72"/>
      <c r="I103" s="72"/>
      <c r="J103" s="415"/>
      <c r="K103" s="72"/>
      <c r="L103" s="73"/>
      <c r="M103" s="74" t="s">
        <v>106857</v>
      </c>
      <c r="N103" s="75"/>
      <c r="O103" s="75"/>
      <c r="P103" s="76"/>
      <c r="Q103" s="76"/>
      <c r="R103" s="77">
        <f t="shared" ref="R103:T103" si="121">SUM(R104:R105)</f>
        <v>1500000</v>
      </c>
      <c r="S103" s="77">
        <f t="shared" si="121"/>
        <v>1500000</v>
      </c>
      <c r="T103" s="77">
        <f t="shared" si="121"/>
        <v>0</v>
      </c>
      <c r="U103" s="78"/>
      <c r="V103" s="78"/>
      <c r="W103" s="72"/>
      <c r="X103" s="77">
        <f t="shared" ref="X103:Y103" si="122">SUM(X104:X105)</f>
        <v>0</v>
      </c>
      <c r="Y103" s="77">
        <f t="shared" si="122"/>
        <v>0</v>
      </c>
      <c r="Z103" s="77">
        <f t="shared" ref="Z103:AC103" si="123">SUM(Z104:Z105)</f>
        <v>0</v>
      </c>
      <c r="AA103" s="77">
        <f t="shared" si="123"/>
        <v>0</v>
      </c>
      <c r="AB103" s="77">
        <f t="shared" si="123"/>
        <v>0</v>
      </c>
      <c r="AC103" s="77">
        <f t="shared" si="123"/>
        <v>0</v>
      </c>
      <c r="AD103" s="77">
        <f t="shared" ref="AD103:AI103" si="124">SUM(AD104:AD105)</f>
        <v>0</v>
      </c>
      <c r="AE103" s="77">
        <f t="shared" si="124"/>
        <v>0</v>
      </c>
      <c r="AF103" s="77">
        <f t="shared" si="124"/>
        <v>0</v>
      </c>
      <c r="AG103" s="77">
        <f t="shared" si="124"/>
        <v>0</v>
      </c>
      <c r="AH103" s="77">
        <f t="shared" si="124"/>
        <v>0</v>
      </c>
      <c r="AI103" s="77">
        <f t="shared" si="124"/>
        <v>0</v>
      </c>
      <c r="AJ103" s="593">
        <v>0</v>
      </c>
    </row>
    <row r="104" spans="2:36" x14ac:dyDescent="0.2">
      <c r="B104" s="88"/>
      <c r="C104" s="89"/>
      <c r="D104" s="89"/>
      <c r="E104" s="89"/>
      <c r="F104" s="89"/>
      <c r="G104" s="89"/>
      <c r="H104" s="89"/>
      <c r="I104" s="89"/>
      <c r="J104" s="89"/>
      <c r="K104" s="96" t="s">
        <v>106856</v>
      </c>
      <c r="L104" s="55"/>
      <c r="M104" s="92" t="s">
        <v>113065</v>
      </c>
      <c r="N104" s="93" t="s">
        <v>113031</v>
      </c>
      <c r="O104" s="93" t="s">
        <v>113031</v>
      </c>
      <c r="P104" s="94" t="s">
        <v>113031</v>
      </c>
      <c r="Q104" s="93" t="s">
        <v>113031</v>
      </c>
      <c r="R104" s="95">
        <v>1500000</v>
      </c>
      <c r="S104" s="472">
        <v>1500000</v>
      </c>
      <c r="T104" s="472">
        <v>0</v>
      </c>
      <c r="U104" s="96"/>
      <c r="V104" s="97"/>
      <c r="W104" s="96"/>
      <c r="X104" s="593"/>
      <c r="Y104" s="593"/>
      <c r="Z104" s="593"/>
      <c r="AA104" s="593"/>
      <c r="AB104" s="593"/>
      <c r="AC104" s="593"/>
      <c r="AD104" s="593"/>
      <c r="AE104" s="593"/>
      <c r="AF104" s="593"/>
      <c r="AG104" s="593"/>
      <c r="AH104" s="593"/>
      <c r="AI104" s="593"/>
      <c r="AJ104" s="593">
        <v>0</v>
      </c>
    </row>
    <row r="105" spans="2:36" ht="30" x14ac:dyDescent="0.2">
      <c r="B105" s="88"/>
      <c r="C105" s="89"/>
      <c r="D105" s="89"/>
      <c r="E105" s="89"/>
      <c r="F105" s="89"/>
      <c r="G105" s="89"/>
      <c r="H105" s="89"/>
      <c r="I105" s="89"/>
      <c r="J105" s="89"/>
      <c r="K105" s="96" t="s">
        <v>106856</v>
      </c>
      <c r="L105" s="127"/>
      <c r="M105" s="92" t="s">
        <v>113063</v>
      </c>
      <c r="N105" s="93">
        <v>45332</v>
      </c>
      <c r="O105" s="93" t="s">
        <v>113037</v>
      </c>
      <c r="P105" s="94" t="s">
        <v>113011</v>
      </c>
      <c r="Q105" s="93" t="s">
        <v>113251</v>
      </c>
      <c r="R105" s="95">
        <v>0</v>
      </c>
      <c r="S105" s="472">
        <v>0</v>
      </c>
      <c r="T105" s="472">
        <v>0</v>
      </c>
      <c r="U105" s="96"/>
      <c r="V105" s="97"/>
      <c r="W105" s="96"/>
      <c r="X105" s="593">
        <v>0</v>
      </c>
      <c r="Y105" s="593">
        <v>0</v>
      </c>
      <c r="Z105" s="593">
        <v>0</v>
      </c>
      <c r="AA105" s="593">
        <v>0</v>
      </c>
      <c r="AB105" s="593">
        <v>0</v>
      </c>
      <c r="AC105" s="593">
        <v>0</v>
      </c>
      <c r="AD105" s="593">
        <v>0</v>
      </c>
      <c r="AE105" s="593">
        <v>0</v>
      </c>
      <c r="AF105" s="593">
        <v>0</v>
      </c>
      <c r="AG105" s="593">
        <v>0</v>
      </c>
      <c r="AH105" s="593">
        <v>0</v>
      </c>
      <c r="AI105" s="593">
        <v>0</v>
      </c>
      <c r="AJ105" s="593">
        <v>0</v>
      </c>
    </row>
    <row r="106" spans="2:36" ht="30" x14ac:dyDescent="0.2">
      <c r="B106" s="334" t="s">
        <v>105516</v>
      </c>
      <c r="C106" s="334" t="s">
        <v>105573</v>
      </c>
      <c r="D106" s="334" t="s">
        <v>105573</v>
      </c>
      <c r="E106" s="334" t="s">
        <v>105573</v>
      </c>
      <c r="F106" s="334" t="s">
        <v>105547</v>
      </c>
      <c r="G106" s="334" t="s">
        <v>105556</v>
      </c>
      <c r="H106" s="72"/>
      <c r="I106" s="72"/>
      <c r="J106" s="415"/>
      <c r="K106" s="72"/>
      <c r="L106" s="73"/>
      <c r="M106" s="74" t="s">
        <v>106859</v>
      </c>
      <c r="N106" s="75"/>
      <c r="O106" s="75"/>
      <c r="P106" s="76"/>
      <c r="Q106" s="76"/>
      <c r="R106" s="77">
        <f t="shared" ref="R106:T107" si="125">SUM(R107)</f>
        <v>600000000</v>
      </c>
      <c r="S106" s="77">
        <f t="shared" si="125"/>
        <v>348100000</v>
      </c>
      <c r="T106" s="77">
        <f t="shared" si="125"/>
        <v>300000000</v>
      </c>
      <c r="U106" s="78"/>
      <c r="V106" s="78"/>
      <c r="W106" s="72"/>
      <c r="X106" s="77">
        <f t="shared" ref="X106:AI107" si="126">SUM(X107)</f>
        <v>0</v>
      </c>
      <c r="Y106" s="77">
        <f t="shared" si="126"/>
        <v>0</v>
      </c>
      <c r="Z106" s="77">
        <f t="shared" si="126"/>
        <v>0</v>
      </c>
      <c r="AA106" s="77">
        <f t="shared" si="126"/>
        <v>0</v>
      </c>
      <c r="AB106" s="77">
        <f t="shared" si="126"/>
        <v>0</v>
      </c>
      <c r="AC106" s="77">
        <f t="shared" si="126"/>
        <v>0</v>
      </c>
      <c r="AD106" s="77">
        <f t="shared" si="126"/>
        <v>0</v>
      </c>
      <c r="AE106" s="77">
        <f t="shared" si="126"/>
        <v>0</v>
      </c>
      <c r="AF106" s="77">
        <f t="shared" si="126"/>
        <v>0</v>
      </c>
      <c r="AG106" s="77">
        <f t="shared" si="126"/>
        <v>0</v>
      </c>
      <c r="AH106" s="77">
        <f t="shared" si="126"/>
        <v>0</v>
      </c>
      <c r="AI106" s="77">
        <f t="shared" si="126"/>
        <v>0</v>
      </c>
      <c r="AJ106" s="593">
        <v>0</v>
      </c>
    </row>
    <row r="107" spans="2:36" ht="30" x14ac:dyDescent="0.2">
      <c r="B107" s="80" t="s">
        <v>105516</v>
      </c>
      <c r="C107" s="80" t="s">
        <v>105573</v>
      </c>
      <c r="D107" s="80" t="s">
        <v>105573</v>
      </c>
      <c r="E107" s="80" t="s">
        <v>105573</v>
      </c>
      <c r="F107" s="80" t="s">
        <v>105547</v>
      </c>
      <c r="G107" s="80" t="s">
        <v>105556</v>
      </c>
      <c r="H107" s="80" t="s">
        <v>105520</v>
      </c>
      <c r="I107" s="80"/>
      <c r="J107" s="416"/>
      <c r="K107" s="80"/>
      <c r="L107" s="436"/>
      <c r="M107" s="82" t="s">
        <v>106861</v>
      </c>
      <c r="N107" s="83"/>
      <c r="O107" s="83"/>
      <c r="P107" s="84"/>
      <c r="Q107" s="84"/>
      <c r="R107" s="85">
        <f t="shared" si="125"/>
        <v>600000000</v>
      </c>
      <c r="S107" s="85">
        <f t="shared" si="125"/>
        <v>348100000</v>
      </c>
      <c r="T107" s="85">
        <f t="shared" si="125"/>
        <v>300000000</v>
      </c>
      <c r="U107" s="86"/>
      <c r="V107" s="86"/>
      <c r="W107" s="341"/>
      <c r="X107" s="85">
        <f t="shared" si="126"/>
        <v>0</v>
      </c>
      <c r="Y107" s="85">
        <f t="shared" si="126"/>
        <v>0</v>
      </c>
      <c r="Z107" s="85">
        <f t="shared" si="126"/>
        <v>0</v>
      </c>
      <c r="AA107" s="85">
        <f t="shared" si="126"/>
        <v>0</v>
      </c>
      <c r="AB107" s="85">
        <f t="shared" si="126"/>
        <v>0</v>
      </c>
      <c r="AC107" s="85">
        <f t="shared" si="126"/>
        <v>0</v>
      </c>
      <c r="AD107" s="85">
        <f t="shared" si="126"/>
        <v>0</v>
      </c>
      <c r="AE107" s="85">
        <f t="shared" si="126"/>
        <v>0</v>
      </c>
      <c r="AF107" s="85">
        <f t="shared" si="126"/>
        <v>0</v>
      </c>
      <c r="AG107" s="85">
        <f t="shared" si="126"/>
        <v>0</v>
      </c>
      <c r="AH107" s="85">
        <f t="shared" si="126"/>
        <v>0</v>
      </c>
      <c r="AI107" s="85">
        <f t="shared" si="126"/>
        <v>0</v>
      </c>
      <c r="AJ107" s="593">
        <v>0</v>
      </c>
    </row>
    <row r="108" spans="2:36" ht="34.5" customHeight="1" x14ac:dyDescent="0.2">
      <c r="B108" s="88"/>
      <c r="C108" s="89"/>
      <c r="D108" s="89"/>
      <c r="E108" s="89"/>
      <c r="F108" s="89"/>
      <c r="G108" s="89"/>
      <c r="H108" s="89"/>
      <c r="I108" s="89"/>
      <c r="J108" s="89"/>
      <c r="K108" s="96" t="s">
        <v>106858</v>
      </c>
      <c r="L108" s="589"/>
      <c r="M108" s="92" t="s">
        <v>113066</v>
      </c>
      <c r="N108" s="93">
        <v>45659</v>
      </c>
      <c r="O108" s="93" t="s">
        <v>113060</v>
      </c>
      <c r="P108" s="94" t="s">
        <v>113011</v>
      </c>
      <c r="Q108" s="93" t="s">
        <v>113031</v>
      </c>
      <c r="R108" s="314">
        <v>600000000</v>
      </c>
      <c r="S108" s="472">
        <f>492000000-143900000</f>
        <v>348100000</v>
      </c>
      <c r="T108" s="563">
        <v>300000000</v>
      </c>
      <c r="U108" s="96"/>
      <c r="V108" s="129"/>
      <c r="W108" s="96" t="s">
        <v>113064</v>
      </c>
      <c r="X108" s="593"/>
      <c r="Y108" s="593"/>
      <c r="Z108" s="593"/>
      <c r="AA108" s="593"/>
      <c r="AB108" s="593"/>
      <c r="AC108" s="593"/>
      <c r="AD108" s="593"/>
      <c r="AE108" s="593"/>
      <c r="AF108" s="593"/>
      <c r="AG108" s="593"/>
      <c r="AH108" s="593"/>
      <c r="AI108" s="593"/>
      <c r="AJ108" s="593">
        <v>0</v>
      </c>
    </row>
    <row r="109" spans="2:36" ht="30" x14ac:dyDescent="0.2">
      <c r="B109" s="63" t="s">
        <v>105516</v>
      </c>
      <c r="C109" s="63" t="s">
        <v>105573</v>
      </c>
      <c r="D109" s="63" t="s">
        <v>105573</v>
      </c>
      <c r="E109" s="63" t="s">
        <v>105573</v>
      </c>
      <c r="F109" s="63" t="s">
        <v>105550</v>
      </c>
      <c r="G109" s="63"/>
      <c r="H109" s="63"/>
      <c r="I109" s="63"/>
      <c r="J109" s="414"/>
      <c r="K109" s="254"/>
      <c r="L109" s="65"/>
      <c r="M109" s="66" t="s">
        <v>106865</v>
      </c>
      <c r="N109" s="67"/>
      <c r="O109" s="67"/>
      <c r="P109" s="68"/>
      <c r="Q109" s="68"/>
      <c r="R109" s="69">
        <f t="shared" ref="R109:T110" si="127">R110</f>
        <v>10000000</v>
      </c>
      <c r="S109" s="69">
        <f>S110</f>
        <v>0</v>
      </c>
      <c r="T109" s="69">
        <f>T110</f>
        <v>10000000</v>
      </c>
      <c r="U109" s="70"/>
      <c r="V109" s="70"/>
      <c r="W109" s="254"/>
      <c r="X109" s="69">
        <f t="shared" ref="X109:AI109" si="128">X110</f>
        <v>0</v>
      </c>
      <c r="Y109" s="69">
        <f t="shared" si="128"/>
        <v>0</v>
      </c>
      <c r="Z109" s="69">
        <f t="shared" si="128"/>
        <v>0</v>
      </c>
      <c r="AA109" s="69">
        <f t="shared" si="128"/>
        <v>0</v>
      </c>
      <c r="AB109" s="69">
        <f t="shared" si="128"/>
        <v>0</v>
      </c>
      <c r="AC109" s="69">
        <f t="shared" si="128"/>
        <v>0</v>
      </c>
      <c r="AD109" s="69">
        <f t="shared" si="128"/>
        <v>0</v>
      </c>
      <c r="AE109" s="69">
        <f t="shared" si="128"/>
        <v>0</v>
      </c>
      <c r="AF109" s="69">
        <f t="shared" si="128"/>
        <v>0</v>
      </c>
      <c r="AG109" s="69">
        <f t="shared" si="128"/>
        <v>0</v>
      </c>
      <c r="AH109" s="69">
        <f t="shared" si="128"/>
        <v>0</v>
      </c>
      <c r="AI109" s="69">
        <f t="shared" si="128"/>
        <v>0</v>
      </c>
      <c r="AJ109" s="593">
        <v>0</v>
      </c>
    </row>
    <row r="110" spans="2:36" x14ac:dyDescent="0.2">
      <c r="B110" s="334" t="s">
        <v>105516</v>
      </c>
      <c r="C110" s="334" t="s">
        <v>105573</v>
      </c>
      <c r="D110" s="334" t="s">
        <v>105573</v>
      </c>
      <c r="E110" s="334" t="s">
        <v>105573</v>
      </c>
      <c r="F110" s="334" t="s">
        <v>105550</v>
      </c>
      <c r="G110" s="334" t="s">
        <v>105528</v>
      </c>
      <c r="H110" s="72"/>
      <c r="I110" s="72"/>
      <c r="J110" s="415"/>
      <c r="K110" s="72"/>
      <c r="L110" s="73"/>
      <c r="M110" s="74" t="s">
        <v>106867</v>
      </c>
      <c r="N110" s="75"/>
      <c r="O110" s="75"/>
      <c r="P110" s="76"/>
      <c r="Q110" s="76"/>
      <c r="R110" s="77">
        <f t="shared" si="127"/>
        <v>10000000</v>
      </c>
      <c r="S110" s="77">
        <f t="shared" si="127"/>
        <v>0</v>
      </c>
      <c r="T110" s="77">
        <f t="shared" si="127"/>
        <v>10000000</v>
      </c>
      <c r="U110" s="78"/>
      <c r="V110" s="78"/>
      <c r="W110" s="72"/>
      <c r="X110" s="77">
        <f t="shared" ref="X110:AI110" si="129">X111</f>
        <v>0</v>
      </c>
      <c r="Y110" s="77">
        <f t="shared" si="129"/>
        <v>0</v>
      </c>
      <c r="Z110" s="77">
        <f t="shared" si="129"/>
        <v>0</v>
      </c>
      <c r="AA110" s="77">
        <f t="shared" si="129"/>
        <v>0</v>
      </c>
      <c r="AB110" s="77">
        <f t="shared" si="129"/>
        <v>0</v>
      </c>
      <c r="AC110" s="77">
        <f t="shared" si="129"/>
        <v>0</v>
      </c>
      <c r="AD110" s="77">
        <f t="shared" si="129"/>
        <v>0</v>
      </c>
      <c r="AE110" s="77">
        <f t="shared" si="129"/>
        <v>0</v>
      </c>
      <c r="AF110" s="77">
        <f t="shared" si="129"/>
        <v>0</v>
      </c>
      <c r="AG110" s="77">
        <f t="shared" si="129"/>
        <v>0</v>
      </c>
      <c r="AH110" s="77">
        <f t="shared" si="129"/>
        <v>0</v>
      </c>
      <c r="AI110" s="77">
        <f t="shared" si="129"/>
        <v>0</v>
      </c>
      <c r="AJ110" s="593">
        <v>0</v>
      </c>
    </row>
    <row r="111" spans="2:36" ht="30" x14ac:dyDescent="0.2">
      <c r="B111" s="80" t="s">
        <v>105516</v>
      </c>
      <c r="C111" s="81" t="s">
        <v>105924</v>
      </c>
      <c r="D111" s="81" t="s">
        <v>105520</v>
      </c>
      <c r="E111" s="81" t="s">
        <v>105573</v>
      </c>
      <c r="F111" s="81" t="s">
        <v>105550</v>
      </c>
      <c r="G111" s="81" t="s">
        <v>105528</v>
      </c>
      <c r="H111" s="80" t="s">
        <v>105675</v>
      </c>
      <c r="I111" s="80" t="s">
        <v>106217</v>
      </c>
      <c r="J111" s="416"/>
      <c r="K111" s="81"/>
      <c r="L111" s="436"/>
      <c r="M111" s="304" t="s">
        <v>106892</v>
      </c>
      <c r="N111" s="83"/>
      <c r="O111" s="83"/>
      <c r="P111" s="84"/>
      <c r="Q111" s="84"/>
      <c r="R111" s="85">
        <f t="shared" ref="R111:T111" si="130">R112+R114</f>
        <v>10000000</v>
      </c>
      <c r="S111" s="85">
        <f t="shared" si="130"/>
        <v>0</v>
      </c>
      <c r="T111" s="85">
        <f t="shared" si="130"/>
        <v>10000000</v>
      </c>
      <c r="U111" s="86"/>
      <c r="V111" s="86"/>
      <c r="W111" s="80"/>
      <c r="X111" s="85">
        <f t="shared" ref="X111:Y111" si="131">X112+X114</f>
        <v>0</v>
      </c>
      <c r="Y111" s="85">
        <f t="shared" si="131"/>
        <v>0</v>
      </c>
      <c r="Z111" s="85">
        <f t="shared" ref="Z111:AC111" si="132">Z112+Z114</f>
        <v>0</v>
      </c>
      <c r="AA111" s="85">
        <f t="shared" si="132"/>
        <v>0</v>
      </c>
      <c r="AB111" s="85">
        <f t="shared" si="132"/>
        <v>0</v>
      </c>
      <c r="AC111" s="85">
        <f t="shared" si="132"/>
        <v>0</v>
      </c>
      <c r="AD111" s="85">
        <f t="shared" ref="AD111:AI111" si="133">AD112+AD114</f>
        <v>0</v>
      </c>
      <c r="AE111" s="85">
        <f t="shared" si="133"/>
        <v>0</v>
      </c>
      <c r="AF111" s="85">
        <f t="shared" si="133"/>
        <v>0</v>
      </c>
      <c r="AG111" s="85">
        <f t="shared" si="133"/>
        <v>0</v>
      </c>
      <c r="AH111" s="85">
        <f t="shared" si="133"/>
        <v>0</v>
      </c>
      <c r="AI111" s="85">
        <f t="shared" si="133"/>
        <v>0</v>
      </c>
      <c r="AJ111" s="593">
        <v>0</v>
      </c>
    </row>
    <row r="112" spans="2:36" ht="30" x14ac:dyDescent="0.2">
      <c r="B112" s="80" t="s">
        <v>105516</v>
      </c>
      <c r="C112" s="81" t="s">
        <v>105924</v>
      </c>
      <c r="D112" s="81" t="s">
        <v>105520</v>
      </c>
      <c r="E112" s="81" t="s">
        <v>105573</v>
      </c>
      <c r="F112" s="81" t="s">
        <v>105550</v>
      </c>
      <c r="G112" s="81" t="s">
        <v>105528</v>
      </c>
      <c r="H112" s="80" t="s">
        <v>105675</v>
      </c>
      <c r="I112" s="80" t="s">
        <v>106217</v>
      </c>
      <c r="J112" s="416" t="s">
        <v>105917</v>
      </c>
      <c r="K112" s="81"/>
      <c r="L112" s="436"/>
      <c r="M112" s="304" t="s">
        <v>106900</v>
      </c>
      <c r="N112" s="83"/>
      <c r="O112" s="83"/>
      <c r="P112" s="84"/>
      <c r="Q112" s="84"/>
      <c r="R112" s="85">
        <f t="shared" ref="R112:T112" si="134">R113</f>
        <v>0</v>
      </c>
      <c r="S112" s="85">
        <f t="shared" si="134"/>
        <v>0</v>
      </c>
      <c r="T112" s="85">
        <f t="shared" si="134"/>
        <v>0</v>
      </c>
      <c r="U112" s="86"/>
      <c r="V112" s="86"/>
      <c r="W112" s="80"/>
      <c r="X112" s="85">
        <f t="shared" ref="X112:AI112" si="135">X113</f>
        <v>0</v>
      </c>
      <c r="Y112" s="85">
        <f t="shared" si="135"/>
        <v>0</v>
      </c>
      <c r="Z112" s="85">
        <f t="shared" si="135"/>
        <v>0</v>
      </c>
      <c r="AA112" s="85">
        <f t="shared" si="135"/>
        <v>0</v>
      </c>
      <c r="AB112" s="85">
        <f t="shared" si="135"/>
        <v>0</v>
      </c>
      <c r="AC112" s="85">
        <f t="shared" si="135"/>
        <v>0</v>
      </c>
      <c r="AD112" s="85">
        <f t="shared" si="135"/>
        <v>0</v>
      </c>
      <c r="AE112" s="85">
        <f t="shared" si="135"/>
        <v>0</v>
      </c>
      <c r="AF112" s="85">
        <f t="shared" si="135"/>
        <v>0</v>
      </c>
      <c r="AG112" s="85">
        <f t="shared" si="135"/>
        <v>0</v>
      </c>
      <c r="AH112" s="85">
        <f t="shared" si="135"/>
        <v>0</v>
      </c>
      <c r="AI112" s="85">
        <f t="shared" si="135"/>
        <v>0</v>
      </c>
      <c r="AJ112" s="593">
        <v>0</v>
      </c>
    </row>
    <row r="113" spans="2:36" ht="30" x14ac:dyDescent="0.2">
      <c r="B113" s="194"/>
      <c r="C113" s="195"/>
      <c r="D113" s="195"/>
      <c r="E113" s="195"/>
      <c r="F113" s="195"/>
      <c r="G113" s="195"/>
      <c r="H113" s="195"/>
      <c r="I113" s="195"/>
      <c r="J113" s="195"/>
      <c r="K113" s="96" t="s">
        <v>112489</v>
      </c>
      <c r="L113" s="127" t="s">
        <v>113067</v>
      </c>
      <c r="M113" s="131" t="s">
        <v>106900</v>
      </c>
      <c r="N113" s="121">
        <v>45293</v>
      </c>
      <c r="O113" s="93" t="s">
        <v>113060</v>
      </c>
      <c r="P113" s="132" t="s">
        <v>113068</v>
      </c>
      <c r="Q113" s="132" t="s">
        <v>113069</v>
      </c>
      <c r="R113" s="95"/>
      <c r="S113" s="472">
        <v>0</v>
      </c>
      <c r="T113" s="472">
        <v>0</v>
      </c>
      <c r="U113" s="96"/>
      <c r="V113" s="97"/>
      <c r="W113" s="96"/>
      <c r="X113" s="593">
        <v>0</v>
      </c>
      <c r="Y113" s="593">
        <v>0</v>
      </c>
      <c r="Z113" s="593">
        <v>0</v>
      </c>
      <c r="AA113" s="593">
        <v>0</v>
      </c>
      <c r="AB113" s="593">
        <v>0</v>
      </c>
      <c r="AC113" s="593">
        <v>0</v>
      </c>
      <c r="AD113" s="593">
        <v>0</v>
      </c>
      <c r="AE113" s="593">
        <v>0</v>
      </c>
      <c r="AF113" s="593">
        <v>0</v>
      </c>
      <c r="AG113" s="593">
        <v>0</v>
      </c>
      <c r="AH113" s="593">
        <v>0</v>
      </c>
      <c r="AI113" s="593">
        <v>0</v>
      </c>
      <c r="AJ113" s="593">
        <v>0</v>
      </c>
    </row>
    <row r="114" spans="2:36" ht="30" x14ac:dyDescent="0.2">
      <c r="B114" s="80" t="s">
        <v>105516</v>
      </c>
      <c r="C114" s="80" t="s">
        <v>105573</v>
      </c>
      <c r="D114" s="80" t="s">
        <v>105573</v>
      </c>
      <c r="E114" s="80" t="s">
        <v>105573</v>
      </c>
      <c r="F114" s="80" t="s">
        <v>105550</v>
      </c>
      <c r="G114" s="80" t="s">
        <v>105528</v>
      </c>
      <c r="H114" s="80" t="s">
        <v>105675</v>
      </c>
      <c r="I114" s="80" t="s">
        <v>106217</v>
      </c>
      <c r="J114" s="416" t="s">
        <v>106103</v>
      </c>
      <c r="K114" s="80"/>
      <c r="L114" s="436"/>
      <c r="M114" s="82" t="s">
        <v>106906</v>
      </c>
      <c r="N114" s="83"/>
      <c r="O114" s="83"/>
      <c r="P114" s="84"/>
      <c r="Q114" s="84"/>
      <c r="R114" s="85">
        <f t="shared" ref="R114:T114" si="136">R115</f>
        <v>10000000</v>
      </c>
      <c r="S114" s="85">
        <f t="shared" si="136"/>
        <v>0</v>
      </c>
      <c r="T114" s="85">
        <f t="shared" si="136"/>
        <v>10000000</v>
      </c>
      <c r="U114" s="86"/>
      <c r="V114" s="86"/>
      <c r="W114" s="341"/>
      <c r="X114" s="85">
        <f t="shared" ref="X114:AI114" si="137">X115</f>
        <v>0</v>
      </c>
      <c r="Y114" s="85">
        <f t="shared" si="137"/>
        <v>0</v>
      </c>
      <c r="Z114" s="85">
        <f t="shared" si="137"/>
        <v>0</v>
      </c>
      <c r="AA114" s="85">
        <f t="shared" si="137"/>
        <v>0</v>
      </c>
      <c r="AB114" s="85">
        <f t="shared" si="137"/>
        <v>0</v>
      </c>
      <c r="AC114" s="85">
        <f t="shared" si="137"/>
        <v>0</v>
      </c>
      <c r="AD114" s="85">
        <f t="shared" si="137"/>
        <v>0</v>
      </c>
      <c r="AE114" s="85">
        <f t="shared" si="137"/>
        <v>0</v>
      </c>
      <c r="AF114" s="85">
        <f t="shared" si="137"/>
        <v>0</v>
      </c>
      <c r="AG114" s="85">
        <f t="shared" si="137"/>
        <v>0</v>
      </c>
      <c r="AH114" s="85">
        <f t="shared" si="137"/>
        <v>0</v>
      </c>
      <c r="AI114" s="85">
        <f t="shared" si="137"/>
        <v>0</v>
      </c>
      <c r="AJ114" s="593">
        <v>0</v>
      </c>
    </row>
    <row r="115" spans="2:36" ht="30" x14ac:dyDescent="0.2">
      <c r="B115" s="88"/>
      <c r="C115" s="89"/>
      <c r="D115" s="89"/>
      <c r="E115" s="89"/>
      <c r="F115" s="89"/>
      <c r="G115" s="89"/>
      <c r="H115" s="89"/>
      <c r="I115" s="89"/>
      <c r="J115" s="89"/>
      <c r="K115" s="96" t="s">
        <v>106866</v>
      </c>
      <c r="L115" s="127">
        <v>84131600</v>
      </c>
      <c r="M115" s="131" t="s">
        <v>106906</v>
      </c>
      <c r="N115" s="121">
        <v>45979</v>
      </c>
      <c r="O115" s="93" t="s">
        <v>113123</v>
      </c>
      <c r="P115" s="132" t="s">
        <v>113079</v>
      </c>
      <c r="Q115" s="132" t="s">
        <v>113052</v>
      </c>
      <c r="R115" s="314">
        <v>10000000</v>
      </c>
      <c r="S115" s="472">
        <v>0</v>
      </c>
      <c r="T115" s="472">
        <v>10000000</v>
      </c>
      <c r="U115" s="96"/>
      <c r="V115" s="97"/>
      <c r="W115" s="96" t="s">
        <v>113035</v>
      </c>
      <c r="X115" s="593">
        <v>0</v>
      </c>
      <c r="Y115" s="593">
        <v>0</v>
      </c>
      <c r="Z115" s="593">
        <v>0</v>
      </c>
      <c r="AA115" s="593">
        <v>0</v>
      </c>
      <c r="AB115" s="593">
        <v>0</v>
      </c>
      <c r="AC115" s="593">
        <v>0</v>
      </c>
      <c r="AD115" s="593">
        <v>0</v>
      </c>
      <c r="AE115" s="593">
        <v>0</v>
      </c>
      <c r="AF115" s="593">
        <v>0</v>
      </c>
      <c r="AG115" s="593">
        <v>0</v>
      </c>
      <c r="AH115" s="593">
        <v>0</v>
      </c>
      <c r="AI115" s="593">
        <v>0</v>
      </c>
      <c r="AJ115" s="593">
        <v>0</v>
      </c>
    </row>
    <row r="116" spans="2:36" ht="30" x14ac:dyDescent="0.2">
      <c r="B116" s="63" t="s">
        <v>105516</v>
      </c>
      <c r="C116" s="63" t="s">
        <v>105573</v>
      </c>
      <c r="D116" s="63" t="s">
        <v>105573</v>
      </c>
      <c r="E116" s="63" t="s">
        <v>105573</v>
      </c>
      <c r="F116" s="63" t="s">
        <v>105553</v>
      </c>
      <c r="G116" s="63"/>
      <c r="H116" s="63"/>
      <c r="I116" s="63"/>
      <c r="J116" s="414"/>
      <c r="K116" s="254"/>
      <c r="L116" s="65"/>
      <c r="M116" s="66" t="s">
        <v>106978</v>
      </c>
      <c r="N116" s="67"/>
      <c r="O116" s="67"/>
      <c r="P116" s="68"/>
      <c r="Q116" s="68"/>
      <c r="R116" s="69">
        <f>+R117+R122+R171+R159+R165</f>
        <v>1950780000</v>
      </c>
      <c r="S116" s="69">
        <f>+S117+S122+S171+S159+S165</f>
        <v>1822000000</v>
      </c>
      <c r="T116" s="69">
        <f>+T117+T122+T171+T159+T165</f>
        <v>562000000</v>
      </c>
      <c r="U116" s="70"/>
      <c r="V116" s="70"/>
      <c r="W116" s="254"/>
      <c r="X116" s="69">
        <f t="shared" ref="X116:AI116" si="138">+X117+X122+X171+X159+X165</f>
        <v>31200000</v>
      </c>
      <c r="Y116" s="69">
        <f t="shared" si="138"/>
        <v>66200000</v>
      </c>
      <c r="Z116" s="69">
        <f t="shared" si="138"/>
        <v>81700000</v>
      </c>
      <c r="AA116" s="69">
        <f t="shared" si="138"/>
        <v>89200000</v>
      </c>
      <c r="AB116" s="69">
        <f t="shared" si="138"/>
        <v>81700000</v>
      </c>
      <c r="AC116" s="69">
        <f t="shared" si="138"/>
        <v>166700000</v>
      </c>
      <c r="AD116" s="69">
        <f t="shared" si="138"/>
        <v>50500000</v>
      </c>
      <c r="AE116" s="69">
        <f t="shared" si="138"/>
        <v>40500000</v>
      </c>
      <c r="AF116" s="69">
        <f t="shared" si="138"/>
        <v>15500000</v>
      </c>
      <c r="AG116" s="69">
        <f t="shared" si="138"/>
        <v>15500000</v>
      </c>
      <c r="AH116" s="69">
        <f t="shared" si="138"/>
        <v>133000000</v>
      </c>
      <c r="AI116" s="69">
        <f t="shared" si="138"/>
        <v>15500000</v>
      </c>
      <c r="AJ116" s="593">
        <v>0</v>
      </c>
    </row>
    <row r="117" spans="2:36" x14ac:dyDescent="0.2">
      <c r="B117" s="334" t="s">
        <v>105516</v>
      </c>
      <c r="C117" s="334" t="s">
        <v>105573</v>
      </c>
      <c r="D117" s="334" t="s">
        <v>105573</v>
      </c>
      <c r="E117" s="334" t="s">
        <v>105573</v>
      </c>
      <c r="F117" s="334" t="s">
        <v>105553</v>
      </c>
      <c r="G117" s="334" t="s">
        <v>105535</v>
      </c>
      <c r="H117" s="72"/>
      <c r="I117" s="72"/>
      <c r="J117" s="415"/>
      <c r="K117" s="72"/>
      <c r="L117" s="73"/>
      <c r="M117" s="74" t="s">
        <v>106988</v>
      </c>
      <c r="N117" s="75"/>
      <c r="O117" s="75"/>
      <c r="P117" s="76"/>
      <c r="Q117" s="76"/>
      <c r="R117" s="77">
        <f t="shared" ref="R117:T117" si="139">+R118</f>
        <v>188100000</v>
      </c>
      <c r="S117" s="77">
        <f t="shared" si="139"/>
        <v>108000000</v>
      </c>
      <c r="T117" s="77">
        <f t="shared" si="139"/>
        <v>90000000</v>
      </c>
      <c r="U117" s="78"/>
      <c r="V117" s="78"/>
      <c r="W117" s="72"/>
      <c r="X117" s="77">
        <f t="shared" ref="X117:AI117" si="140">+X118</f>
        <v>0</v>
      </c>
      <c r="Y117" s="77">
        <f t="shared" si="140"/>
        <v>0</v>
      </c>
      <c r="Z117" s="77">
        <f t="shared" si="140"/>
        <v>0</v>
      </c>
      <c r="AA117" s="77">
        <f t="shared" si="140"/>
        <v>0</v>
      </c>
      <c r="AB117" s="77">
        <f t="shared" si="140"/>
        <v>0</v>
      </c>
      <c r="AC117" s="77">
        <f t="shared" si="140"/>
        <v>0</v>
      </c>
      <c r="AD117" s="77">
        <f t="shared" si="140"/>
        <v>0</v>
      </c>
      <c r="AE117" s="77">
        <f t="shared" si="140"/>
        <v>0</v>
      </c>
      <c r="AF117" s="77">
        <f t="shared" si="140"/>
        <v>0</v>
      </c>
      <c r="AG117" s="77">
        <f t="shared" si="140"/>
        <v>0</v>
      </c>
      <c r="AH117" s="77">
        <f t="shared" si="140"/>
        <v>0</v>
      </c>
      <c r="AI117" s="77">
        <f t="shared" si="140"/>
        <v>0</v>
      </c>
      <c r="AJ117" s="593">
        <v>0</v>
      </c>
    </row>
    <row r="118" spans="2:36" x14ac:dyDescent="0.2">
      <c r="B118" s="80" t="s">
        <v>105516</v>
      </c>
      <c r="C118" s="80" t="s">
        <v>105573</v>
      </c>
      <c r="D118" s="80" t="s">
        <v>105573</v>
      </c>
      <c r="E118" s="80" t="s">
        <v>105573</v>
      </c>
      <c r="F118" s="80" t="s">
        <v>105553</v>
      </c>
      <c r="G118" s="80" t="s">
        <v>105535</v>
      </c>
      <c r="H118" s="80" t="s">
        <v>105520</v>
      </c>
      <c r="I118" s="80"/>
      <c r="J118" s="416"/>
      <c r="K118" s="80"/>
      <c r="L118" s="436"/>
      <c r="M118" s="82" t="s">
        <v>106990</v>
      </c>
      <c r="N118" s="83"/>
      <c r="O118" s="83"/>
      <c r="P118" s="84"/>
      <c r="Q118" s="84"/>
      <c r="R118" s="85">
        <f>SUM(R119:R121)</f>
        <v>188100000</v>
      </c>
      <c r="S118" s="85">
        <f>SUM(S119:S121)</f>
        <v>108000000</v>
      </c>
      <c r="T118" s="85">
        <f>SUM(T119:T121)</f>
        <v>90000000</v>
      </c>
      <c r="U118" s="86"/>
      <c r="V118" s="86"/>
      <c r="W118" s="341"/>
      <c r="X118" s="85"/>
      <c r="Y118" s="85"/>
      <c r="Z118" s="85"/>
      <c r="AA118" s="85"/>
      <c r="AB118" s="85"/>
      <c r="AC118" s="85"/>
      <c r="AD118" s="85"/>
      <c r="AE118" s="85"/>
      <c r="AF118" s="85"/>
      <c r="AG118" s="85"/>
      <c r="AH118" s="85"/>
      <c r="AI118" s="85"/>
      <c r="AJ118" s="593">
        <v>0</v>
      </c>
    </row>
    <row r="119" spans="2:36" ht="128.25" customHeight="1" x14ac:dyDescent="0.2">
      <c r="B119" s="88"/>
      <c r="C119" s="89"/>
      <c r="D119" s="89"/>
      <c r="E119" s="89"/>
      <c r="F119" s="89"/>
      <c r="G119" s="89"/>
      <c r="H119" s="89"/>
      <c r="I119" s="89"/>
      <c r="J119" s="89"/>
      <c r="K119" s="96" t="s">
        <v>106987</v>
      </c>
      <c r="L119" s="91" t="s">
        <v>113252</v>
      </c>
      <c r="M119" s="92" t="s">
        <v>113813</v>
      </c>
      <c r="N119" s="93">
        <v>45666</v>
      </c>
      <c r="O119" s="93">
        <v>45666</v>
      </c>
      <c r="P119" s="94" t="s">
        <v>113817</v>
      </c>
      <c r="Q119" s="94" t="s">
        <v>113498</v>
      </c>
      <c r="R119" s="498">
        <v>62700000</v>
      </c>
      <c r="S119" s="472">
        <f>6000000*6</f>
        <v>36000000</v>
      </c>
      <c r="T119" s="472">
        <f>6000000*5</f>
        <v>30000000</v>
      </c>
      <c r="U119" s="126" t="s">
        <v>113031</v>
      </c>
      <c r="V119" s="96" t="s">
        <v>113031</v>
      </c>
      <c r="W119" s="400" t="s">
        <v>113074</v>
      </c>
      <c r="X119" s="593"/>
      <c r="Y119" s="593"/>
      <c r="Z119" s="593"/>
      <c r="AA119" s="593"/>
      <c r="AB119" s="593"/>
      <c r="AC119" s="593"/>
      <c r="AD119" s="593"/>
      <c r="AE119" s="593"/>
      <c r="AF119" s="593"/>
      <c r="AG119" s="593"/>
      <c r="AH119" s="593"/>
      <c r="AI119" s="593"/>
      <c r="AJ119" s="593">
        <v>0</v>
      </c>
    </row>
    <row r="120" spans="2:36" ht="84.75" customHeight="1" x14ac:dyDescent="0.2">
      <c r="B120" s="88"/>
      <c r="C120" s="89"/>
      <c r="D120" s="89"/>
      <c r="E120" s="89"/>
      <c r="F120" s="89"/>
      <c r="G120" s="89"/>
      <c r="H120" s="89"/>
      <c r="I120" s="89"/>
      <c r="J120" s="89"/>
      <c r="K120" s="96" t="s">
        <v>106987</v>
      </c>
      <c r="L120" s="91" t="s">
        <v>113252</v>
      </c>
      <c r="M120" s="92" t="s">
        <v>113253</v>
      </c>
      <c r="N120" s="93">
        <v>45666</v>
      </c>
      <c r="O120" s="93">
        <v>45666</v>
      </c>
      <c r="P120" s="94" t="s">
        <v>113817</v>
      </c>
      <c r="Q120" s="94" t="s">
        <v>113053</v>
      </c>
      <c r="R120" s="498">
        <v>62700000</v>
      </c>
      <c r="S120" s="472">
        <f>6000000*6</f>
        <v>36000000</v>
      </c>
      <c r="T120" s="472">
        <f>6000000*5</f>
        <v>30000000</v>
      </c>
      <c r="U120" s="126" t="s">
        <v>113031</v>
      </c>
      <c r="V120" s="96" t="s">
        <v>113031</v>
      </c>
      <c r="W120" s="96" t="s">
        <v>113072</v>
      </c>
      <c r="X120" s="593"/>
      <c r="Y120" s="593"/>
      <c r="Z120" s="593"/>
      <c r="AA120" s="593"/>
      <c r="AB120" s="593"/>
      <c r="AC120" s="593"/>
      <c r="AD120" s="593"/>
      <c r="AE120" s="593"/>
      <c r="AF120" s="593"/>
      <c r="AG120" s="593"/>
      <c r="AH120" s="593"/>
      <c r="AI120" s="593"/>
      <c r="AJ120" s="593">
        <v>0</v>
      </c>
    </row>
    <row r="121" spans="2:36" ht="90" customHeight="1" x14ac:dyDescent="0.2">
      <c r="B121" s="88"/>
      <c r="C121" s="89"/>
      <c r="D121" s="89"/>
      <c r="E121" s="89"/>
      <c r="F121" s="89"/>
      <c r="G121" s="89"/>
      <c r="H121" s="89"/>
      <c r="I121" s="89"/>
      <c r="J121" s="89"/>
      <c r="K121" s="96" t="s">
        <v>106987</v>
      </c>
      <c r="L121" s="91" t="s">
        <v>113252</v>
      </c>
      <c r="M121" s="92" t="s">
        <v>113812</v>
      </c>
      <c r="N121" s="93">
        <v>45666</v>
      </c>
      <c r="O121" s="93">
        <v>45666</v>
      </c>
      <c r="P121" s="94" t="s">
        <v>113817</v>
      </c>
      <c r="Q121" s="94" t="s">
        <v>113053</v>
      </c>
      <c r="R121" s="498">
        <v>62700000</v>
      </c>
      <c r="S121" s="472">
        <f>6000000*6</f>
        <v>36000000</v>
      </c>
      <c r="T121" s="472">
        <f>6000000*5</f>
        <v>30000000</v>
      </c>
      <c r="U121" s="126" t="s">
        <v>113031</v>
      </c>
      <c r="V121" s="96" t="s">
        <v>113031</v>
      </c>
      <c r="W121" s="96" t="s">
        <v>113072</v>
      </c>
      <c r="X121" s="593"/>
      <c r="Y121" s="593"/>
      <c r="Z121" s="593"/>
      <c r="AA121" s="593"/>
      <c r="AB121" s="593"/>
      <c r="AC121" s="593"/>
      <c r="AD121" s="593"/>
      <c r="AE121" s="593"/>
      <c r="AF121" s="593"/>
      <c r="AG121" s="593"/>
      <c r="AH121" s="593"/>
      <c r="AI121" s="593"/>
      <c r="AJ121" s="593">
        <v>0</v>
      </c>
    </row>
    <row r="122" spans="2:36" ht="45" x14ac:dyDescent="0.2">
      <c r="B122" s="334" t="s">
        <v>105516</v>
      </c>
      <c r="C122" s="334" t="s">
        <v>105573</v>
      </c>
      <c r="D122" s="334" t="s">
        <v>105573</v>
      </c>
      <c r="E122" s="334" t="s">
        <v>105573</v>
      </c>
      <c r="F122" s="334" t="s">
        <v>105553</v>
      </c>
      <c r="G122" s="334" t="s">
        <v>105538</v>
      </c>
      <c r="H122" s="72"/>
      <c r="I122" s="72"/>
      <c r="J122" s="415"/>
      <c r="K122" s="72"/>
      <c r="L122" s="73"/>
      <c r="M122" s="305" t="s">
        <v>113228</v>
      </c>
      <c r="N122" s="75"/>
      <c r="O122" s="75"/>
      <c r="P122" s="76"/>
      <c r="Q122" s="76"/>
      <c r="R122" s="77">
        <f t="shared" ref="R122:T122" si="141">+R123</f>
        <v>1497800000</v>
      </c>
      <c r="S122" s="77">
        <f t="shared" si="141"/>
        <v>1275400000</v>
      </c>
      <c r="T122" s="77">
        <f t="shared" si="141"/>
        <v>435000000</v>
      </c>
      <c r="U122" s="78"/>
      <c r="V122" s="78"/>
      <c r="W122" s="399"/>
      <c r="X122" s="77">
        <f t="shared" ref="X122:AI122" si="142">+X123</f>
        <v>31200000</v>
      </c>
      <c r="Y122" s="77">
        <f t="shared" si="142"/>
        <v>66200000</v>
      </c>
      <c r="Z122" s="77">
        <f t="shared" si="142"/>
        <v>81700000</v>
      </c>
      <c r="AA122" s="77">
        <f t="shared" si="142"/>
        <v>89200000</v>
      </c>
      <c r="AB122" s="77">
        <f t="shared" si="142"/>
        <v>81700000</v>
      </c>
      <c r="AC122" s="77">
        <f t="shared" si="142"/>
        <v>166700000</v>
      </c>
      <c r="AD122" s="77">
        <f t="shared" si="142"/>
        <v>50500000</v>
      </c>
      <c r="AE122" s="77">
        <f t="shared" si="142"/>
        <v>40500000</v>
      </c>
      <c r="AF122" s="77">
        <f t="shared" si="142"/>
        <v>15500000</v>
      </c>
      <c r="AG122" s="77">
        <f t="shared" si="142"/>
        <v>15500000</v>
      </c>
      <c r="AH122" s="77">
        <f t="shared" si="142"/>
        <v>133000000</v>
      </c>
      <c r="AI122" s="77">
        <f t="shared" si="142"/>
        <v>15500000</v>
      </c>
      <c r="AJ122" s="593">
        <v>0</v>
      </c>
    </row>
    <row r="123" spans="2:36" ht="30" x14ac:dyDescent="0.2">
      <c r="B123" s="80" t="s">
        <v>105516</v>
      </c>
      <c r="C123" s="80" t="s">
        <v>105573</v>
      </c>
      <c r="D123" s="80" t="s">
        <v>105573</v>
      </c>
      <c r="E123" s="80" t="s">
        <v>105573</v>
      </c>
      <c r="F123" s="80" t="s">
        <v>105553</v>
      </c>
      <c r="G123" s="80" t="s">
        <v>105538</v>
      </c>
      <c r="H123" s="80" t="s">
        <v>105520</v>
      </c>
      <c r="I123" s="80"/>
      <c r="J123" s="416"/>
      <c r="K123" s="80"/>
      <c r="L123" s="436"/>
      <c r="M123" s="304" t="s">
        <v>107000</v>
      </c>
      <c r="N123" s="83"/>
      <c r="O123" s="83"/>
      <c r="P123" s="84"/>
      <c r="Q123" s="84"/>
      <c r="R123" s="85">
        <f>+R124+R151+R153</f>
        <v>1497800000</v>
      </c>
      <c r="S123" s="85">
        <f>+S124+S151+S153</f>
        <v>1275400000</v>
      </c>
      <c r="T123" s="85">
        <f>+T124+T151+T153</f>
        <v>435000000</v>
      </c>
      <c r="U123" s="86"/>
      <c r="V123" s="86"/>
      <c r="W123" s="341"/>
      <c r="X123" s="85">
        <f t="shared" ref="X123:AI123" si="143">+X124+X151+X153</f>
        <v>31200000</v>
      </c>
      <c r="Y123" s="85">
        <f t="shared" si="143"/>
        <v>66200000</v>
      </c>
      <c r="Z123" s="85">
        <f t="shared" si="143"/>
        <v>81700000</v>
      </c>
      <c r="AA123" s="85">
        <f t="shared" si="143"/>
        <v>89200000</v>
      </c>
      <c r="AB123" s="85">
        <f t="shared" si="143"/>
        <v>81700000</v>
      </c>
      <c r="AC123" s="85">
        <f t="shared" si="143"/>
        <v>166700000</v>
      </c>
      <c r="AD123" s="85">
        <f t="shared" si="143"/>
        <v>50500000</v>
      </c>
      <c r="AE123" s="85">
        <f t="shared" si="143"/>
        <v>40500000</v>
      </c>
      <c r="AF123" s="85">
        <f t="shared" si="143"/>
        <v>15500000</v>
      </c>
      <c r="AG123" s="85">
        <f t="shared" si="143"/>
        <v>15500000</v>
      </c>
      <c r="AH123" s="85">
        <f t="shared" si="143"/>
        <v>133000000</v>
      </c>
      <c r="AI123" s="85">
        <f t="shared" si="143"/>
        <v>15500000</v>
      </c>
      <c r="AJ123" s="593">
        <v>0</v>
      </c>
    </row>
    <row r="124" spans="2:36" ht="30" x14ac:dyDescent="0.2">
      <c r="B124" s="80" t="s">
        <v>105516</v>
      </c>
      <c r="C124" s="80" t="s">
        <v>105573</v>
      </c>
      <c r="D124" s="80" t="s">
        <v>105573</v>
      </c>
      <c r="E124" s="80" t="s">
        <v>105573</v>
      </c>
      <c r="F124" s="80" t="s">
        <v>105553</v>
      </c>
      <c r="G124" s="80" t="s">
        <v>105538</v>
      </c>
      <c r="H124" s="80" t="s">
        <v>105520</v>
      </c>
      <c r="I124" s="80" t="s">
        <v>105576</v>
      </c>
      <c r="J124" s="418"/>
      <c r="K124" s="122"/>
      <c r="L124" s="108"/>
      <c r="M124" s="304" t="s">
        <v>107002</v>
      </c>
      <c r="N124" s="83"/>
      <c r="O124" s="83"/>
      <c r="P124" s="84"/>
      <c r="Q124" s="111"/>
      <c r="R124" s="85">
        <f>SUM(R125:R150)</f>
        <v>1455800000</v>
      </c>
      <c r="S124" s="85">
        <f>SUM(S125:S150)</f>
        <v>1189400000</v>
      </c>
      <c r="T124" s="85">
        <f>SUM(T125:T150)</f>
        <v>378400000</v>
      </c>
      <c r="U124" s="86"/>
      <c r="V124" s="86"/>
      <c r="W124" s="341"/>
      <c r="X124" s="85">
        <f t="shared" ref="X124:AI124" si="144">SUM(X125:X150)</f>
        <v>31200000</v>
      </c>
      <c r="Y124" s="85">
        <f t="shared" si="144"/>
        <v>66200000</v>
      </c>
      <c r="Z124" s="85">
        <f t="shared" si="144"/>
        <v>81700000</v>
      </c>
      <c r="AA124" s="85">
        <f t="shared" si="144"/>
        <v>89200000</v>
      </c>
      <c r="AB124" s="85">
        <f t="shared" si="144"/>
        <v>81700000</v>
      </c>
      <c r="AC124" s="85">
        <f t="shared" si="144"/>
        <v>166700000</v>
      </c>
      <c r="AD124" s="85">
        <f t="shared" si="144"/>
        <v>50500000</v>
      </c>
      <c r="AE124" s="85">
        <f t="shared" si="144"/>
        <v>40500000</v>
      </c>
      <c r="AF124" s="85">
        <f t="shared" si="144"/>
        <v>15500000</v>
      </c>
      <c r="AG124" s="85">
        <f t="shared" si="144"/>
        <v>15500000</v>
      </c>
      <c r="AH124" s="85">
        <f t="shared" si="144"/>
        <v>133000000</v>
      </c>
      <c r="AI124" s="85">
        <f t="shared" si="144"/>
        <v>15500000</v>
      </c>
      <c r="AJ124" s="593">
        <v>0</v>
      </c>
    </row>
    <row r="125" spans="2:36" ht="75" x14ac:dyDescent="0.2">
      <c r="B125" s="88"/>
      <c r="C125" s="89"/>
      <c r="D125" s="89"/>
      <c r="E125" s="89"/>
      <c r="F125" s="89"/>
      <c r="G125" s="89"/>
      <c r="H125" s="89"/>
      <c r="I125" s="89"/>
      <c r="J125" s="89"/>
      <c r="K125" s="96" t="s">
        <v>106997</v>
      </c>
      <c r="L125" s="55">
        <v>81101500</v>
      </c>
      <c r="M125" s="102" t="s">
        <v>113419</v>
      </c>
      <c r="N125" s="93">
        <v>45688</v>
      </c>
      <c r="O125" s="93" t="s">
        <v>113037</v>
      </c>
      <c r="P125" s="94" t="s">
        <v>113002</v>
      </c>
      <c r="Q125" s="94" t="s">
        <v>113258</v>
      </c>
      <c r="R125" s="515">
        <v>41000000</v>
      </c>
      <c r="S125" s="475">
        <v>25800000</v>
      </c>
      <c r="T125" s="475">
        <v>21500000</v>
      </c>
      <c r="U125" s="136"/>
      <c r="V125" s="136"/>
      <c r="W125" s="400" t="s">
        <v>113080</v>
      </c>
      <c r="X125" s="596"/>
      <c r="Y125" s="596"/>
      <c r="Z125" s="596"/>
      <c r="AA125" s="596"/>
      <c r="AB125" s="596"/>
      <c r="AC125" s="596"/>
      <c r="AD125" s="596"/>
      <c r="AE125" s="596"/>
      <c r="AF125" s="596"/>
      <c r="AG125" s="596"/>
      <c r="AH125" s="596"/>
      <c r="AI125" s="596"/>
      <c r="AJ125" s="593">
        <v>0</v>
      </c>
    </row>
    <row r="126" spans="2:36" ht="105" x14ac:dyDescent="0.2">
      <c r="B126" s="88"/>
      <c r="C126" s="89"/>
      <c r="D126" s="89"/>
      <c r="E126" s="89"/>
      <c r="F126" s="89"/>
      <c r="G126" s="89"/>
      <c r="H126" s="89"/>
      <c r="I126" s="89"/>
      <c r="J126" s="89"/>
      <c r="K126" s="96"/>
      <c r="L126" s="55">
        <v>81101500</v>
      </c>
      <c r="M126" s="102" t="s">
        <v>113793</v>
      </c>
      <c r="N126" s="93">
        <v>45306</v>
      </c>
      <c r="O126" s="93" t="s">
        <v>113060</v>
      </c>
      <c r="P126" s="94" t="s">
        <v>113002</v>
      </c>
      <c r="Q126" s="94" t="s">
        <v>113258</v>
      </c>
      <c r="R126" s="391"/>
      <c r="S126" s="475">
        <v>36000000</v>
      </c>
      <c r="T126" s="475">
        <v>30000000</v>
      </c>
      <c r="U126" s="136"/>
      <c r="V126" s="136"/>
      <c r="W126" s="96" t="s">
        <v>113012</v>
      </c>
      <c r="X126" s="596"/>
      <c r="Y126" s="596"/>
      <c r="Z126" s="596"/>
      <c r="AA126" s="596"/>
      <c r="AB126" s="596"/>
      <c r="AC126" s="596"/>
      <c r="AD126" s="596"/>
      <c r="AE126" s="596"/>
      <c r="AF126" s="596"/>
      <c r="AG126" s="596"/>
      <c r="AH126" s="596"/>
      <c r="AI126" s="596"/>
      <c r="AJ126" s="593">
        <v>0</v>
      </c>
    </row>
    <row r="127" spans="2:36" ht="78.75" customHeight="1" x14ac:dyDescent="0.2">
      <c r="B127" s="88"/>
      <c r="C127" s="89"/>
      <c r="D127" s="89"/>
      <c r="E127" s="89"/>
      <c r="F127" s="89"/>
      <c r="G127" s="89"/>
      <c r="H127" s="89"/>
      <c r="I127" s="89"/>
      <c r="J127" s="89"/>
      <c r="K127" s="96" t="s">
        <v>106997</v>
      </c>
      <c r="L127" s="91" t="s">
        <v>113509</v>
      </c>
      <c r="M127" s="102" t="s">
        <v>113510</v>
      </c>
      <c r="N127" s="440">
        <v>45839</v>
      </c>
      <c r="O127" s="441" t="s">
        <v>113010</v>
      </c>
      <c r="P127" s="94" t="s">
        <v>113002</v>
      </c>
      <c r="Q127" s="446" t="s">
        <v>113071</v>
      </c>
      <c r="R127" s="559">
        <v>25000000</v>
      </c>
      <c r="S127" s="475">
        <v>0</v>
      </c>
      <c r="T127" s="475">
        <v>25000000</v>
      </c>
      <c r="U127" s="133"/>
      <c r="V127" s="136"/>
      <c r="W127" s="96" t="s">
        <v>113019</v>
      </c>
      <c r="X127" s="596"/>
      <c r="Y127" s="596"/>
      <c r="Z127" s="596"/>
      <c r="AA127" s="596"/>
      <c r="AB127" s="596"/>
      <c r="AC127" s="596"/>
      <c r="AD127" s="596"/>
      <c r="AE127" s="596"/>
      <c r="AF127" s="596"/>
      <c r="AG127" s="596"/>
      <c r="AH127" s="596"/>
      <c r="AI127" s="596"/>
      <c r="AJ127" s="593">
        <v>0</v>
      </c>
    </row>
    <row r="128" spans="2:36" ht="105" x14ac:dyDescent="0.2">
      <c r="B128" s="88"/>
      <c r="C128" s="89"/>
      <c r="D128" s="89"/>
      <c r="E128" s="89"/>
      <c r="F128" s="89"/>
      <c r="G128" s="89"/>
      <c r="H128" s="89"/>
      <c r="I128" s="89"/>
      <c r="J128" s="89"/>
      <c r="K128" s="96" t="s">
        <v>106997</v>
      </c>
      <c r="L128" s="55">
        <v>81111500</v>
      </c>
      <c r="M128" s="100" t="s">
        <v>113811</v>
      </c>
      <c r="N128" s="93">
        <v>45666</v>
      </c>
      <c r="O128" s="93" t="s">
        <v>113060</v>
      </c>
      <c r="P128" s="94" t="s">
        <v>113002</v>
      </c>
      <c r="Q128" s="94" t="s">
        <v>113053</v>
      </c>
      <c r="R128" s="498">
        <v>62700000</v>
      </c>
      <c r="S128" s="472">
        <f>6000000*6</f>
        <v>36000000</v>
      </c>
      <c r="T128" s="472">
        <f>6000000*5</f>
        <v>30000000</v>
      </c>
      <c r="U128" s="133"/>
      <c r="V128" s="136"/>
      <c r="W128" s="96" t="s">
        <v>113003</v>
      </c>
      <c r="X128" s="593">
        <v>6000000</v>
      </c>
      <c r="Y128" s="593">
        <v>6000000</v>
      </c>
      <c r="Z128" s="593">
        <v>6000000</v>
      </c>
      <c r="AA128" s="593">
        <v>6000000</v>
      </c>
      <c r="AB128" s="593">
        <v>6000000</v>
      </c>
      <c r="AC128" s="593">
        <v>6000000</v>
      </c>
      <c r="AD128" s="593"/>
      <c r="AE128" s="593"/>
      <c r="AF128" s="593"/>
      <c r="AG128" s="593"/>
      <c r="AH128" s="593"/>
      <c r="AI128" s="593"/>
      <c r="AJ128" s="593">
        <v>0</v>
      </c>
    </row>
    <row r="129" spans="2:36" ht="60" x14ac:dyDescent="0.2">
      <c r="B129" s="88"/>
      <c r="C129" s="89"/>
      <c r="D129" s="89"/>
      <c r="E129" s="89"/>
      <c r="F129" s="89"/>
      <c r="G129" s="89"/>
      <c r="H129" s="89"/>
      <c r="I129" s="89"/>
      <c r="J129" s="89"/>
      <c r="K129" s="96" t="s">
        <v>106997</v>
      </c>
      <c r="L129" s="55" t="s">
        <v>101349</v>
      </c>
      <c r="M129" s="92" t="s">
        <v>113810</v>
      </c>
      <c r="N129" s="93">
        <v>45677</v>
      </c>
      <c r="O129" s="93" t="s">
        <v>113037</v>
      </c>
      <c r="P129" s="94" t="s">
        <v>113002</v>
      </c>
      <c r="Q129" s="94" t="s">
        <v>113053</v>
      </c>
      <c r="R129" s="498">
        <v>45100000</v>
      </c>
      <c r="S129" s="472">
        <f>4300000*6</f>
        <v>25800000</v>
      </c>
      <c r="T129" s="472">
        <f>4300000*5</f>
        <v>21500000</v>
      </c>
      <c r="U129" s="133"/>
      <c r="V129" s="136"/>
      <c r="W129" s="96" t="s">
        <v>113003</v>
      </c>
      <c r="X129" s="593">
        <v>4300000</v>
      </c>
      <c r="Y129" s="593">
        <v>4300000</v>
      </c>
      <c r="Z129" s="593">
        <v>4300000</v>
      </c>
      <c r="AA129" s="593">
        <v>4300000</v>
      </c>
      <c r="AB129" s="593">
        <v>4300000</v>
      </c>
      <c r="AC129" s="593">
        <v>4300000</v>
      </c>
      <c r="AD129" s="593"/>
      <c r="AE129" s="593"/>
      <c r="AF129" s="593"/>
      <c r="AG129" s="593"/>
      <c r="AH129" s="593"/>
      <c r="AI129" s="593"/>
      <c r="AJ129" s="593">
        <v>0</v>
      </c>
    </row>
    <row r="130" spans="2:36" ht="75" x14ac:dyDescent="0.2">
      <c r="B130" s="88"/>
      <c r="C130" s="89"/>
      <c r="D130" s="89"/>
      <c r="E130" s="89"/>
      <c r="F130" s="89"/>
      <c r="G130" s="89"/>
      <c r="H130" s="89"/>
      <c r="I130" s="89"/>
      <c r="J130" s="89"/>
      <c r="K130" s="96" t="s">
        <v>106997</v>
      </c>
      <c r="L130" s="55">
        <v>81111500</v>
      </c>
      <c r="M130" s="92" t="s">
        <v>113809</v>
      </c>
      <c r="N130" s="93">
        <v>45666</v>
      </c>
      <c r="O130" s="93" t="s">
        <v>113037</v>
      </c>
      <c r="P130" s="94" t="s">
        <v>113002</v>
      </c>
      <c r="Q130" s="94" t="s">
        <v>113053</v>
      </c>
      <c r="R130" s="498">
        <v>99000000</v>
      </c>
      <c r="S130" s="472">
        <f>9000000*6</f>
        <v>54000000</v>
      </c>
      <c r="T130" s="472">
        <f>9000000*5</f>
        <v>45000000</v>
      </c>
      <c r="U130" s="133"/>
      <c r="V130" s="136"/>
      <c r="W130" s="96" t="s">
        <v>113003</v>
      </c>
      <c r="X130" s="593">
        <v>9000000</v>
      </c>
      <c r="Y130" s="593">
        <v>9000000</v>
      </c>
      <c r="Z130" s="593">
        <v>9000000</v>
      </c>
      <c r="AA130" s="593">
        <v>9000000</v>
      </c>
      <c r="AB130" s="593">
        <v>9000000</v>
      </c>
      <c r="AC130" s="593">
        <v>9000000</v>
      </c>
      <c r="AD130" s="593"/>
      <c r="AE130" s="593"/>
      <c r="AF130" s="593"/>
      <c r="AG130" s="593"/>
      <c r="AH130" s="593"/>
      <c r="AI130" s="593"/>
      <c r="AJ130" s="593">
        <v>0</v>
      </c>
    </row>
    <row r="131" spans="2:36" ht="60" x14ac:dyDescent="0.2">
      <c r="B131" s="88"/>
      <c r="C131" s="89"/>
      <c r="D131" s="89"/>
      <c r="E131" s="89"/>
      <c r="F131" s="89"/>
      <c r="G131" s="89"/>
      <c r="H131" s="89"/>
      <c r="I131" s="89"/>
      <c r="J131" s="89"/>
      <c r="K131" s="96" t="s">
        <v>106997</v>
      </c>
      <c r="L131" s="55">
        <v>81111500</v>
      </c>
      <c r="M131" s="92" t="s">
        <v>113808</v>
      </c>
      <c r="N131" s="93">
        <v>45666</v>
      </c>
      <c r="O131" s="93" t="s">
        <v>113037</v>
      </c>
      <c r="P131" s="94" t="s">
        <v>113002</v>
      </c>
      <c r="Q131" s="94" t="s">
        <v>113053</v>
      </c>
      <c r="R131" s="498">
        <v>93500000</v>
      </c>
      <c r="S131" s="472">
        <f>8500000*6</f>
        <v>51000000</v>
      </c>
      <c r="T131" s="472">
        <f>8500000*5</f>
        <v>42500000</v>
      </c>
      <c r="U131" s="133"/>
      <c r="V131" s="136"/>
      <c r="W131" s="96" t="s">
        <v>113003</v>
      </c>
      <c r="X131" s="593">
        <v>8500000</v>
      </c>
      <c r="Y131" s="593">
        <v>8500000</v>
      </c>
      <c r="Z131" s="593">
        <v>8500000</v>
      </c>
      <c r="AA131" s="593">
        <v>8500000</v>
      </c>
      <c r="AB131" s="593">
        <v>8500000</v>
      </c>
      <c r="AC131" s="593">
        <v>8500000</v>
      </c>
      <c r="AD131" s="593"/>
      <c r="AE131" s="593"/>
      <c r="AF131" s="593"/>
      <c r="AG131" s="593"/>
      <c r="AH131" s="593"/>
      <c r="AI131" s="593"/>
      <c r="AJ131" s="593">
        <v>0</v>
      </c>
    </row>
    <row r="132" spans="2:36" ht="60" x14ac:dyDescent="0.2">
      <c r="B132" s="88"/>
      <c r="C132" s="89"/>
      <c r="D132" s="89"/>
      <c r="E132" s="89"/>
      <c r="F132" s="89"/>
      <c r="G132" s="89"/>
      <c r="H132" s="89"/>
      <c r="I132" s="89"/>
      <c r="J132" s="89"/>
      <c r="K132" s="96" t="s">
        <v>106997</v>
      </c>
      <c r="L132" s="55">
        <v>43232407</v>
      </c>
      <c r="M132" s="92" t="s">
        <v>113807</v>
      </c>
      <c r="N132" s="93">
        <v>45679</v>
      </c>
      <c r="O132" s="93" t="s">
        <v>113037</v>
      </c>
      <c r="P132" s="94" t="s">
        <v>113002</v>
      </c>
      <c r="Q132" s="94" t="s">
        <v>113053</v>
      </c>
      <c r="R132" s="498">
        <v>28500000</v>
      </c>
      <c r="S132" s="472">
        <f>6000000*6</f>
        <v>36000000</v>
      </c>
      <c r="T132" s="472">
        <v>0</v>
      </c>
      <c r="U132" s="133"/>
      <c r="V132" s="136"/>
      <c r="W132" s="96" t="s">
        <v>113003</v>
      </c>
      <c r="X132" s="593"/>
      <c r="Y132" s="593">
        <v>6000000</v>
      </c>
      <c r="Z132" s="593">
        <v>6000000</v>
      </c>
      <c r="AA132" s="593">
        <v>6000000</v>
      </c>
      <c r="AB132" s="593">
        <v>6000000</v>
      </c>
      <c r="AC132" s="593">
        <v>6000000</v>
      </c>
      <c r="AD132" s="593">
        <v>6000000</v>
      </c>
      <c r="AE132" s="593"/>
      <c r="AF132" s="593"/>
      <c r="AG132" s="593"/>
      <c r="AH132" s="593"/>
      <c r="AI132" s="593"/>
      <c r="AJ132" s="593">
        <v>0</v>
      </c>
    </row>
    <row r="133" spans="2:36" ht="60" x14ac:dyDescent="0.2">
      <c r="B133" s="88"/>
      <c r="C133" s="89"/>
      <c r="D133" s="89"/>
      <c r="E133" s="89"/>
      <c r="F133" s="89"/>
      <c r="G133" s="89"/>
      <c r="H133" s="89"/>
      <c r="I133" s="89"/>
      <c r="J133" s="89"/>
      <c r="K133" s="96" t="s">
        <v>106997</v>
      </c>
      <c r="L133" s="55">
        <v>81111500</v>
      </c>
      <c r="M133" s="102" t="s">
        <v>113806</v>
      </c>
      <c r="N133" s="93">
        <v>45679</v>
      </c>
      <c r="O133" s="93" t="s">
        <v>113037</v>
      </c>
      <c r="P133" s="94" t="s">
        <v>113002</v>
      </c>
      <c r="Q133" s="94" t="s">
        <v>113053</v>
      </c>
      <c r="R133" s="498">
        <v>42000000</v>
      </c>
      <c r="S133" s="472">
        <f>7700000*6</f>
        <v>46200000</v>
      </c>
      <c r="T133" s="472">
        <v>0</v>
      </c>
      <c r="U133" s="133"/>
      <c r="V133" s="136"/>
      <c r="W133" s="96" t="s">
        <v>113003</v>
      </c>
      <c r="X133" s="593"/>
      <c r="Y133" s="593">
        <v>7000000</v>
      </c>
      <c r="Z133" s="593">
        <v>7000000</v>
      </c>
      <c r="AA133" s="593">
        <v>7000000</v>
      </c>
      <c r="AB133" s="593">
        <v>7000000</v>
      </c>
      <c r="AC133" s="593">
        <v>7000000</v>
      </c>
      <c r="AD133" s="593">
        <v>7000000</v>
      </c>
      <c r="AE133" s="593"/>
      <c r="AF133" s="593"/>
      <c r="AG133" s="593"/>
      <c r="AH133" s="593"/>
      <c r="AI133" s="593"/>
      <c r="AJ133" s="593">
        <v>0</v>
      </c>
    </row>
    <row r="134" spans="2:36" ht="60" x14ac:dyDescent="0.2">
      <c r="B134" s="88"/>
      <c r="C134" s="89"/>
      <c r="D134" s="89"/>
      <c r="E134" s="89"/>
      <c r="F134" s="89"/>
      <c r="G134" s="89"/>
      <c r="H134" s="89"/>
      <c r="I134" s="89"/>
      <c r="J134" s="89"/>
      <c r="K134" s="96" t="s">
        <v>106997</v>
      </c>
      <c r="L134" s="55">
        <v>81111500</v>
      </c>
      <c r="M134" s="102" t="s">
        <v>113806</v>
      </c>
      <c r="N134" s="93">
        <v>45679</v>
      </c>
      <c r="O134" s="93" t="s">
        <v>113037</v>
      </c>
      <c r="P134" s="94" t="s">
        <v>113002</v>
      </c>
      <c r="Q134" s="94" t="s">
        <v>113053</v>
      </c>
      <c r="R134" s="498">
        <v>42000000</v>
      </c>
      <c r="S134" s="472">
        <f>7700000*6</f>
        <v>46200000</v>
      </c>
      <c r="T134" s="472">
        <v>0</v>
      </c>
      <c r="U134" s="133"/>
      <c r="V134" s="136"/>
      <c r="W134" s="96" t="s">
        <v>113003</v>
      </c>
      <c r="X134" s="593"/>
      <c r="Y134" s="593">
        <v>7000000</v>
      </c>
      <c r="Z134" s="593">
        <v>7000000</v>
      </c>
      <c r="AA134" s="593">
        <v>7000000</v>
      </c>
      <c r="AB134" s="593">
        <v>7000000</v>
      </c>
      <c r="AC134" s="593">
        <v>7000000</v>
      </c>
      <c r="AD134" s="593">
        <v>7000000</v>
      </c>
      <c r="AE134" s="593"/>
      <c r="AF134" s="593"/>
      <c r="AG134" s="593"/>
      <c r="AH134" s="593"/>
      <c r="AI134" s="593"/>
      <c r="AJ134" s="593">
        <v>0</v>
      </c>
    </row>
    <row r="135" spans="2:36" ht="60" x14ac:dyDescent="0.2">
      <c r="B135" s="88"/>
      <c r="C135" s="89"/>
      <c r="D135" s="89"/>
      <c r="E135" s="89"/>
      <c r="F135" s="89"/>
      <c r="G135" s="89"/>
      <c r="H135" s="89"/>
      <c r="I135" s="89"/>
      <c r="J135" s="89"/>
      <c r="K135" s="96" t="s">
        <v>106997</v>
      </c>
      <c r="L135" s="55">
        <v>81111500</v>
      </c>
      <c r="M135" s="92" t="s">
        <v>113805</v>
      </c>
      <c r="N135" s="93">
        <v>45679</v>
      </c>
      <c r="O135" s="93" t="s">
        <v>113037</v>
      </c>
      <c r="P135" s="94" t="s">
        <v>113002</v>
      </c>
      <c r="Q135" s="94" t="s">
        <v>113053</v>
      </c>
      <c r="R135" s="498">
        <v>45000000</v>
      </c>
      <c r="S135" s="472">
        <f>7700000*6</f>
        <v>46200000</v>
      </c>
      <c r="T135" s="472">
        <v>0</v>
      </c>
      <c r="U135" s="133"/>
      <c r="V135" s="136"/>
      <c r="W135" s="96" t="s">
        <v>113003</v>
      </c>
      <c r="X135" s="593"/>
      <c r="Y135" s="593">
        <v>7500000</v>
      </c>
      <c r="Z135" s="593">
        <v>7500000</v>
      </c>
      <c r="AA135" s="593">
        <v>7500000</v>
      </c>
      <c r="AB135" s="593">
        <v>7500000</v>
      </c>
      <c r="AC135" s="593">
        <v>7500000</v>
      </c>
      <c r="AD135" s="593">
        <v>7500000</v>
      </c>
      <c r="AE135" s="593"/>
      <c r="AF135" s="593"/>
      <c r="AG135" s="593"/>
      <c r="AH135" s="593"/>
      <c r="AI135" s="593"/>
      <c r="AJ135" s="593">
        <v>0</v>
      </c>
    </row>
    <row r="136" spans="2:36" ht="60" x14ac:dyDescent="0.2">
      <c r="B136" s="88"/>
      <c r="C136" s="89"/>
      <c r="D136" s="89"/>
      <c r="E136" s="89"/>
      <c r="F136" s="89"/>
      <c r="G136" s="89"/>
      <c r="H136" s="89"/>
      <c r="I136" s="89"/>
      <c r="J136" s="89"/>
      <c r="K136" s="96" t="s">
        <v>106997</v>
      </c>
      <c r="L136" s="55">
        <v>81111500</v>
      </c>
      <c r="M136" s="92" t="s">
        <v>113804</v>
      </c>
      <c r="N136" s="93">
        <v>45679</v>
      </c>
      <c r="O136" s="93" t="s">
        <v>113037</v>
      </c>
      <c r="P136" s="94" t="s">
        <v>113002</v>
      </c>
      <c r="Q136" s="94" t="s">
        <v>113053</v>
      </c>
      <c r="R136" s="498">
        <v>45000000</v>
      </c>
      <c r="S136" s="472">
        <f>7700000*6</f>
        <v>46200000</v>
      </c>
      <c r="T136" s="472">
        <v>0</v>
      </c>
      <c r="U136" s="133"/>
      <c r="V136" s="136"/>
      <c r="W136" s="96" t="s">
        <v>113003</v>
      </c>
      <c r="X136" s="593"/>
      <c r="Y136" s="593">
        <v>7500000</v>
      </c>
      <c r="Z136" s="593">
        <v>7500000</v>
      </c>
      <c r="AA136" s="593">
        <v>7500000</v>
      </c>
      <c r="AB136" s="593">
        <v>7500000</v>
      </c>
      <c r="AC136" s="593">
        <v>7500000</v>
      </c>
      <c r="AD136" s="593">
        <v>7500000</v>
      </c>
      <c r="AE136" s="593"/>
      <c r="AF136" s="593"/>
      <c r="AG136" s="593"/>
      <c r="AH136" s="593"/>
      <c r="AI136" s="593"/>
      <c r="AJ136" s="593">
        <v>0</v>
      </c>
    </row>
    <row r="137" spans="2:36" ht="60" x14ac:dyDescent="0.2">
      <c r="B137" s="88"/>
      <c r="C137" s="89"/>
      <c r="D137" s="89"/>
      <c r="E137" s="89"/>
      <c r="F137" s="89"/>
      <c r="G137" s="89"/>
      <c r="H137" s="89"/>
      <c r="I137" s="89"/>
      <c r="J137" s="89"/>
      <c r="K137" s="96" t="s">
        <v>106997</v>
      </c>
      <c r="L137" s="91">
        <v>81112103</v>
      </c>
      <c r="M137" s="100" t="s">
        <v>113437</v>
      </c>
      <c r="N137" s="93">
        <v>45824</v>
      </c>
      <c r="O137" s="93" t="s">
        <v>112997</v>
      </c>
      <c r="P137" s="94" t="s">
        <v>112998</v>
      </c>
      <c r="Q137" s="94" t="s">
        <v>113053</v>
      </c>
      <c r="R137" s="498">
        <v>16400000</v>
      </c>
      <c r="S137" s="472"/>
      <c r="T137" s="472">
        <f>4300000*3</f>
        <v>12900000</v>
      </c>
      <c r="U137" s="133"/>
      <c r="V137" s="136"/>
      <c r="W137" s="96" t="s">
        <v>113003</v>
      </c>
      <c r="X137" s="593"/>
      <c r="Y137" s="593"/>
      <c r="Z137" s="593"/>
      <c r="AA137" s="593"/>
      <c r="AB137" s="593"/>
      <c r="AC137" s="593"/>
      <c r="AD137" s="593"/>
      <c r="AE137" s="593"/>
      <c r="AF137" s="593"/>
      <c r="AG137" s="593"/>
      <c r="AH137" s="593"/>
      <c r="AI137" s="593"/>
      <c r="AJ137" s="593">
        <v>0</v>
      </c>
    </row>
    <row r="138" spans="2:36" ht="60" x14ac:dyDescent="0.2">
      <c r="B138" s="88"/>
      <c r="C138" s="89"/>
      <c r="D138" s="89"/>
      <c r="E138" s="89"/>
      <c r="F138" s="89"/>
      <c r="G138" s="89"/>
      <c r="H138" s="89"/>
      <c r="I138" s="89"/>
      <c r="J138" s="89"/>
      <c r="K138" s="96" t="s">
        <v>106997</v>
      </c>
      <c r="L138" s="91" t="s">
        <v>113084</v>
      </c>
      <c r="M138" s="102" t="s">
        <v>113438</v>
      </c>
      <c r="N138" s="93">
        <v>45672</v>
      </c>
      <c r="O138" s="93" t="s">
        <v>113037</v>
      </c>
      <c r="P138" s="94" t="s">
        <v>113022</v>
      </c>
      <c r="Q138" s="94" t="s">
        <v>112999</v>
      </c>
      <c r="R138" s="498">
        <v>80000000</v>
      </c>
      <c r="S138" s="472">
        <v>80000000</v>
      </c>
      <c r="T138" s="472">
        <v>0</v>
      </c>
      <c r="U138" s="133"/>
      <c r="V138" s="136"/>
      <c r="W138" s="96" t="s">
        <v>113003</v>
      </c>
      <c r="X138" s="593"/>
      <c r="Y138" s="593"/>
      <c r="Z138" s="593"/>
      <c r="AA138" s="593"/>
      <c r="AB138" s="593"/>
      <c r="AC138" s="593">
        <v>40000000</v>
      </c>
      <c r="AD138" s="593"/>
      <c r="AE138" s="593"/>
      <c r="AF138" s="593"/>
      <c r="AG138" s="593"/>
      <c r="AH138" s="593">
        <v>40000000</v>
      </c>
      <c r="AI138" s="593"/>
      <c r="AJ138" s="593">
        <v>0</v>
      </c>
    </row>
    <row r="139" spans="2:36" ht="45" x14ac:dyDescent="0.2">
      <c r="B139" s="88"/>
      <c r="C139" s="89"/>
      <c r="D139" s="89"/>
      <c r="E139" s="89"/>
      <c r="F139" s="89"/>
      <c r="G139" s="89"/>
      <c r="H139" s="89"/>
      <c r="I139" s="89"/>
      <c r="J139" s="89"/>
      <c r="K139" s="96" t="s">
        <v>106997</v>
      </c>
      <c r="L139" s="55">
        <v>81111800</v>
      </c>
      <c r="M139" s="92" t="s">
        <v>113439</v>
      </c>
      <c r="N139" s="93">
        <v>45692</v>
      </c>
      <c r="O139" s="93" t="s">
        <v>113037</v>
      </c>
      <c r="P139" s="94" t="s">
        <v>113022</v>
      </c>
      <c r="Q139" s="94" t="s">
        <v>112999</v>
      </c>
      <c r="R139" s="498">
        <v>155000000</v>
      </c>
      <c r="S139" s="472">
        <v>155000000</v>
      </c>
      <c r="T139" s="472">
        <v>0</v>
      </c>
      <c r="U139" s="133"/>
      <c r="V139" s="136"/>
      <c r="W139" s="96" t="s">
        <v>113003</v>
      </c>
      <c r="X139" s="593"/>
      <c r="Y139" s="593"/>
      <c r="Z139" s="593">
        <v>15500000</v>
      </c>
      <c r="AA139" s="593">
        <v>15500000</v>
      </c>
      <c r="AB139" s="593">
        <v>15500000</v>
      </c>
      <c r="AC139" s="593">
        <v>15500000</v>
      </c>
      <c r="AD139" s="593">
        <v>15500000</v>
      </c>
      <c r="AE139" s="593">
        <v>15500000</v>
      </c>
      <c r="AF139" s="593">
        <v>15500000</v>
      </c>
      <c r="AG139" s="593">
        <v>15500000</v>
      </c>
      <c r="AH139" s="593">
        <v>15500000</v>
      </c>
      <c r="AI139" s="593">
        <v>15500000</v>
      </c>
      <c r="AJ139" s="593">
        <v>0</v>
      </c>
    </row>
    <row r="140" spans="2:36" ht="45" x14ac:dyDescent="0.2">
      <c r="B140" s="88"/>
      <c r="C140" s="89"/>
      <c r="D140" s="89"/>
      <c r="E140" s="89"/>
      <c r="F140" s="89"/>
      <c r="G140" s="89"/>
      <c r="H140" s="89"/>
      <c r="I140" s="89"/>
      <c r="J140" s="89"/>
      <c r="K140" s="96" t="s">
        <v>106997</v>
      </c>
      <c r="L140" s="55">
        <v>81111800</v>
      </c>
      <c r="M140" s="92" t="s">
        <v>113442</v>
      </c>
      <c r="N140" s="93">
        <v>45733</v>
      </c>
      <c r="O140" s="93" t="s">
        <v>113087</v>
      </c>
      <c r="P140" s="94" t="s">
        <v>113028</v>
      </c>
      <c r="Q140" s="94" t="s">
        <v>113053</v>
      </c>
      <c r="R140" s="498">
        <v>90000000</v>
      </c>
      <c r="S140" s="474">
        <v>90000000</v>
      </c>
      <c r="T140" s="570">
        <v>0</v>
      </c>
      <c r="U140" s="133"/>
      <c r="V140" s="136"/>
      <c r="W140" s="96" t="s">
        <v>113003</v>
      </c>
      <c r="X140" s="595"/>
      <c r="Y140" s="595"/>
      <c r="Z140" s="595"/>
      <c r="AA140" s="595"/>
      <c r="AB140" s="595"/>
      <c r="AC140" s="607">
        <v>45000000</v>
      </c>
      <c r="AD140" s="595"/>
      <c r="AE140" s="595"/>
      <c r="AF140" s="595"/>
      <c r="AG140" s="595"/>
      <c r="AH140" s="607">
        <v>45000000</v>
      </c>
      <c r="AI140" s="595"/>
      <c r="AJ140" s="593">
        <v>0</v>
      </c>
    </row>
    <row r="141" spans="2:36" ht="45" x14ac:dyDescent="0.2">
      <c r="B141" s="88"/>
      <c r="C141" s="89"/>
      <c r="D141" s="89"/>
      <c r="E141" s="89"/>
      <c r="F141" s="89"/>
      <c r="G141" s="89"/>
      <c r="H141" s="89"/>
      <c r="I141" s="89"/>
      <c r="J141" s="89"/>
      <c r="K141" s="96" t="s">
        <v>106997</v>
      </c>
      <c r="L141" s="91" t="s">
        <v>113443</v>
      </c>
      <c r="M141" s="92" t="s">
        <v>113444</v>
      </c>
      <c r="N141" s="93">
        <v>45768</v>
      </c>
      <c r="O141" s="93" t="s">
        <v>113087</v>
      </c>
      <c r="P141" s="94" t="s">
        <v>113028</v>
      </c>
      <c r="Q141" s="94" t="s">
        <v>113053</v>
      </c>
      <c r="R141" s="498">
        <v>50000000</v>
      </c>
      <c r="S141" s="474">
        <v>50000000</v>
      </c>
      <c r="T141" s="474"/>
      <c r="U141" s="133"/>
      <c r="V141" s="136"/>
      <c r="W141" s="96" t="s">
        <v>113003</v>
      </c>
      <c r="X141" s="595"/>
      <c r="Y141" s="595"/>
      <c r="Z141" s="595"/>
      <c r="AA141" s="595"/>
      <c r="AB141" s="595"/>
      <c r="AC141" s="595"/>
      <c r="AD141" s="595"/>
      <c r="AE141" s="607">
        <v>25000000</v>
      </c>
      <c r="AF141" s="595"/>
      <c r="AG141" s="595"/>
      <c r="AH141" s="607">
        <v>25000000</v>
      </c>
      <c r="AI141" s="595"/>
      <c r="AJ141" s="593">
        <v>0</v>
      </c>
    </row>
    <row r="142" spans="2:36" ht="79.5" customHeight="1" x14ac:dyDescent="0.2">
      <c r="B142" s="88"/>
      <c r="C142" s="89"/>
      <c r="D142" s="89"/>
      <c r="E142" s="89"/>
      <c r="F142" s="89"/>
      <c r="G142" s="89"/>
      <c r="H142" s="89"/>
      <c r="I142" s="89"/>
      <c r="J142" s="89"/>
      <c r="K142" s="96" t="s">
        <v>106997</v>
      </c>
      <c r="L142" s="55">
        <v>81112200</v>
      </c>
      <c r="M142" s="102" t="s">
        <v>113445</v>
      </c>
      <c r="N142" s="93">
        <v>45666</v>
      </c>
      <c r="O142" s="93" t="s">
        <v>113037</v>
      </c>
      <c r="P142" s="94" t="s">
        <v>113011</v>
      </c>
      <c r="Q142" s="94" t="s">
        <v>113053</v>
      </c>
      <c r="R142" s="498">
        <v>22000000</v>
      </c>
      <c r="S142" s="474">
        <v>15000000</v>
      </c>
      <c r="T142" s="474">
        <v>0</v>
      </c>
      <c r="U142" s="133"/>
      <c r="V142" s="136"/>
      <c r="W142" s="96" t="s">
        <v>113003</v>
      </c>
      <c r="X142" s="595"/>
      <c r="Y142" s="595"/>
      <c r="Z142" s="595"/>
      <c r="AA142" s="607">
        <v>7500000</v>
      </c>
      <c r="AB142" s="595"/>
      <c r="AC142" s="595"/>
      <c r="AD142" s="595"/>
      <c r="AE142" s="595"/>
      <c r="AF142" s="595"/>
      <c r="AG142" s="595"/>
      <c r="AH142" s="607">
        <v>7500000</v>
      </c>
      <c r="AI142" s="595"/>
      <c r="AJ142" s="593">
        <v>0</v>
      </c>
    </row>
    <row r="143" spans="2:36" ht="56.25" customHeight="1" x14ac:dyDescent="0.2">
      <c r="B143" s="88"/>
      <c r="C143" s="89"/>
      <c r="D143" s="89"/>
      <c r="E143" s="89"/>
      <c r="F143" s="89"/>
      <c r="G143" s="89"/>
      <c r="H143" s="89"/>
      <c r="I143" s="89"/>
      <c r="J143" s="89"/>
      <c r="K143" s="96" t="s">
        <v>106997</v>
      </c>
      <c r="L143" s="55">
        <v>84111503</v>
      </c>
      <c r="M143" s="102" t="s">
        <v>113364</v>
      </c>
      <c r="N143" s="93">
        <v>45717</v>
      </c>
      <c r="O143" s="93" t="s">
        <v>113001</v>
      </c>
      <c r="P143" s="94" t="s">
        <v>113002</v>
      </c>
      <c r="Q143" s="94" t="s">
        <v>113094</v>
      </c>
      <c r="R143" s="515">
        <v>130000000</v>
      </c>
      <c r="S143" s="472">
        <v>130000000</v>
      </c>
      <c r="T143" s="472">
        <v>0</v>
      </c>
      <c r="U143" s="133"/>
      <c r="V143" s="136"/>
      <c r="W143" s="398" t="s">
        <v>113161</v>
      </c>
      <c r="X143" s="593"/>
      <c r="Y143" s="593"/>
      <c r="Z143" s="593"/>
      <c r="AA143" s="593"/>
      <c r="AB143" s="593"/>
      <c r="AC143" s="593"/>
      <c r="AD143" s="593"/>
      <c r="AE143" s="593"/>
      <c r="AF143" s="593"/>
      <c r="AG143" s="593"/>
      <c r="AH143" s="593"/>
      <c r="AI143" s="593"/>
      <c r="AJ143" s="593">
        <v>0</v>
      </c>
    </row>
    <row r="144" spans="2:36" ht="148.5" customHeight="1" x14ac:dyDescent="0.2">
      <c r="B144" s="88"/>
      <c r="C144" s="89"/>
      <c r="D144" s="89"/>
      <c r="E144" s="89"/>
      <c r="F144" s="89"/>
      <c r="G144" s="89"/>
      <c r="H144" s="89"/>
      <c r="I144" s="89"/>
      <c r="J144" s="89"/>
      <c r="K144" s="96" t="s">
        <v>106997</v>
      </c>
      <c r="L144" s="91" t="s">
        <v>113266</v>
      </c>
      <c r="M144" s="92" t="s">
        <v>113822</v>
      </c>
      <c r="N144" s="93">
        <v>45666</v>
      </c>
      <c r="O144" s="93">
        <v>45666</v>
      </c>
      <c r="P144" s="94" t="s">
        <v>113002</v>
      </c>
      <c r="Q144" s="94" t="s">
        <v>113053</v>
      </c>
      <c r="R144" s="498">
        <v>62700000</v>
      </c>
      <c r="S144" s="472">
        <f>6000000*6</f>
        <v>36000000</v>
      </c>
      <c r="T144" s="472">
        <f>6000000*5</f>
        <v>30000000</v>
      </c>
      <c r="U144" s="133" t="s">
        <v>113031</v>
      </c>
      <c r="V144" s="126" t="s">
        <v>113031</v>
      </c>
      <c r="W144" s="400" t="s">
        <v>113075</v>
      </c>
      <c r="X144" s="593"/>
      <c r="Y144" s="593"/>
      <c r="Z144" s="593"/>
      <c r="AA144" s="593"/>
      <c r="AB144" s="593"/>
      <c r="AC144" s="593"/>
      <c r="AD144" s="593"/>
      <c r="AE144" s="593"/>
      <c r="AF144" s="593"/>
      <c r="AG144" s="593"/>
      <c r="AH144" s="593"/>
      <c r="AI144" s="593"/>
      <c r="AJ144" s="593">
        <v>0</v>
      </c>
    </row>
    <row r="145" spans="2:36" ht="155.25" customHeight="1" x14ac:dyDescent="0.2">
      <c r="B145" s="88"/>
      <c r="C145" s="89"/>
      <c r="D145" s="89"/>
      <c r="E145" s="89"/>
      <c r="F145" s="89"/>
      <c r="G145" s="89"/>
      <c r="H145" s="89"/>
      <c r="I145" s="89"/>
      <c r="J145" s="89"/>
      <c r="K145" s="96" t="s">
        <v>106997</v>
      </c>
      <c r="L145" s="91" t="s">
        <v>113252</v>
      </c>
      <c r="M145" s="92" t="s">
        <v>113823</v>
      </c>
      <c r="N145" s="93">
        <v>45666</v>
      </c>
      <c r="O145" s="93">
        <v>45666</v>
      </c>
      <c r="P145" s="94" t="s">
        <v>113002</v>
      </c>
      <c r="Q145" s="94" t="s">
        <v>113053</v>
      </c>
      <c r="R145" s="498">
        <v>62700000</v>
      </c>
      <c r="S145" s="472">
        <v>36000000</v>
      </c>
      <c r="T145" s="563">
        <v>30000000</v>
      </c>
      <c r="U145" s="133" t="s">
        <v>113031</v>
      </c>
      <c r="V145" s="126" t="s">
        <v>113031</v>
      </c>
      <c r="W145" s="400" t="s">
        <v>113075</v>
      </c>
      <c r="X145" s="593"/>
      <c r="Y145" s="593"/>
      <c r="Z145" s="593"/>
      <c r="AA145" s="593"/>
      <c r="AB145" s="593"/>
      <c r="AC145" s="593"/>
      <c r="AD145" s="593"/>
      <c r="AE145" s="593"/>
      <c r="AF145" s="593"/>
      <c r="AG145" s="593"/>
      <c r="AH145" s="593"/>
      <c r="AI145" s="593"/>
      <c r="AJ145" s="593">
        <v>0</v>
      </c>
    </row>
    <row r="146" spans="2:36" ht="120" x14ac:dyDescent="0.2">
      <c r="B146" s="88"/>
      <c r="C146" s="89"/>
      <c r="D146" s="89"/>
      <c r="E146" s="89"/>
      <c r="F146" s="89"/>
      <c r="G146" s="89"/>
      <c r="H146" s="89"/>
      <c r="I146" s="89"/>
      <c r="J146" s="89"/>
      <c r="K146" s="96" t="s">
        <v>106997</v>
      </c>
      <c r="L146" s="91" t="s">
        <v>113266</v>
      </c>
      <c r="M146" s="92" t="s">
        <v>113824</v>
      </c>
      <c r="N146" s="93">
        <v>45666</v>
      </c>
      <c r="O146" s="93">
        <v>45666</v>
      </c>
      <c r="P146" s="94" t="s">
        <v>113002</v>
      </c>
      <c r="Q146" s="94" t="s">
        <v>113053</v>
      </c>
      <c r="R146" s="498">
        <v>45100000</v>
      </c>
      <c r="S146" s="472">
        <f>4300000*6</f>
        <v>25800000</v>
      </c>
      <c r="T146" s="472">
        <f>4300000*5</f>
        <v>21500000</v>
      </c>
      <c r="U146" s="133" t="s">
        <v>113031</v>
      </c>
      <c r="V146" s="126" t="s">
        <v>113031</v>
      </c>
      <c r="W146" s="400" t="s">
        <v>113075</v>
      </c>
      <c r="X146" s="593"/>
      <c r="Y146" s="593"/>
      <c r="Z146" s="593"/>
      <c r="AA146" s="593"/>
      <c r="AB146" s="593"/>
      <c r="AC146" s="593"/>
      <c r="AD146" s="593"/>
      <c r="AE146" s="593"/>
      <c r="AF146" s="593"/>
      <c r="AG146" s="593"/>
      <c r="AH146" s="593"/>
      <c r="AI146" s="593"/>
      <c r="AJ146" s="593">
        <v>0</v>
      </c>
    </row>
    <row r="147" spans="2:36" ht="156" customHeight="1" x14ac:dyDescent="0.2">
      <c r="B147" s="88"/>
      <c r="C147" s="89"/>
      <c r="D147" s="89"/>
      <c r="E147" s="89"/>
      <c r="F147" s="89"/>
      <c r="G147" s="89"/>
      <c r="H147" s="89"/>
      <c r="I147" s="89"/>
      <c r="J147" s="89"/>
      <c r="K147" s="96" t="s">
        <v>106997</v>
      </c>
      <c r="L147" s="55">
        <v>80101500</v>
      </c>
      <c r="M147" s="92" t="s">
        <v>113803</v>
      </c>
      <c r="N147" s="93">
        <v>45664</v>
      </c>
      <c r="O147" s="93">
        <v>45666</v>
      </c>
      <c r="P147" s="94" t="s">
        <v>113002</v>
      </c>
      <c r="Q147" s="94" t="s">
        <v>113071</v>
      </c>
      <c r="R147" s="498">
        <f>5700000*11</f>
        <v>62700000</v>
      </c>
      <c r="S147" s="472">
        <f>6000000*6</f>
        <v>36000000</v>
      </c>
      <c r="T147" s="472">
        <f>6000000*5</f>
        <v>30000000</v>
      </c>
      <c r="U147" s="133"/>
      <c r="V147" s="136"/>
      <c r="W147" s="400" t="s">
        <v>113082</v>
      </c>
      <c r="X147" s="593"/>
      <c r="Y147" s="593"/>
      <c r="Z147" s="593"/>
      <c r="AA147" s="593"/>
      <c r="AB147" s="593"/>
      <c r="AC147" s="593"/>
      <c r="AD147" s="593"/>
      <c r="AE147" s="593"/>
      <c r="AF147" s="593"/>
      <c r="AG147" s="593"/>
      <c r="AH147" s="593"/>
      <c r="AI147" s="593"/>
      <c r="AJ147" s="593">
        <v>0</v>
      </c>
    </row>
    <row r="148" spans="2:36" ht="143.25" customHeight="1" x14ac:dyDescent="0.2">
      <c r="B148" s="88"/>
      <c r="C148" s="89"/>
      <c r="D148" s="89"/>
      <c r="E148" s="89"/>
      <c r="F148" s="89"/>
      <c r="G148" s="89"/>
      <c r="H148" s="89"/>
      <c r="I148" s="89"/>
      <c r="J148" s="89"/>
      <c r="K148" s="96" t="s">
        <v>106997</v>
      </c>
      <c r="L148" s="204">
        <v>80101500</v>
      </c>
      <c r="M148" s="131" t="s">
        <v>113826</v>
      </c>
      <c r="N148" s="93">
        <v>45664</v>
      </c>
      <c r="O148" s="93">
        <v>45666</v>
      </c>
      <c r="P148" s="94" t="s">
        <v>113002</v>
      </c>
      <c r="Q148" s="94" t="s">
        <v>113053</v>
      </c>
      <c r="R148" s="498">
        <f>3200000*11</f>
        <v>35200000</v>
      </c>
      <c r="S148" s="472">
        <v>25800000</v>
      </c>
      <c r="T148" s="472">
        <v>21500000</v>
      </c>
      <c r="U148" s="137"/>
      <c r="V148" s="104"/>
      <c r="W148" s="400" t="s">
        <v>113082</v>
      </c>
      <c r="X148" s="593"/>
      <c r="Y148" s="593"/>
      <c r="Z148" s="593"/>
      <c r="AA148" s="593"/>
      <c r="AB148" s="593"/>
      <c r="AC148" s="593"/>
      <c r="AD148" s="593"/>
      <c r="AE148" s="593"/>
      <c r="AF148" s="593"/>
      <c r="AG148" s="593"/>
      <c r="AH148" s="593"/>
      <c r="AI148" s="593"/>
      <c r="AJ148" s="593">
        <v>0</v>
      </c>
    </row>
    <row r="149" spans="2:36" ht="88.5" customHeight="1" x14ac:dyDescent="0.2">
      <c r="B149" s="88"/>
      <c r="C149" s="89"/>
      <c r="D149" s="89"/>
      <c r="E149" s="89"/>
      <c r="F149" s="89"/>
      <c r="G149" s="89"/>
      <c r="H149" s="89"/>
      <c r="I149" s="89"/>
      <c r="J149" s="89"/>
      <c r="K149" s="96" t="s">
        <v>106997</v>
      </c>
      <c r="L149" s="55">
        <v>80101500</v>
      </c>
      <c r="M149" s="102" t="s">
        <v>113802</v>
      </c>
      <c r="N149" s="93">
        <v>45677</v>
      </c>
      <c r="O149" s="93" t="s">
        <v>113037</v>
      </c>
      <c r="P149" s="94" t="s">
        <v>113002</v>
      </c>
      <c r="Q149" s="94" t="s">
        <v>113053</v>
      </c>
      <c r="R149" s="498">
        <f>3200000*11</f>
        <v>35200000</v>
      </c>
      <c r="S149" s="472">
        <f>3400000*6</f>
        <v>20400000</v>
      </c>
      <c r="T149" s="472">
        <f>3400000*5</f>
        <v>17000000</v>
      </c>
      <c r="U149" s="96"/>
      <c r="V149" s="97"/>
      <c r="W149" s="96" t="s">
        <v>113097</v>
      </c>
      <c r="X149" s="593">
        <v>3400000</v>
      </c>
      <c r="Y149" s="593">
        <v>3400000</v>
      </c>
      <c r="Z149" s="593">
        <v>3400000</v>
      </c>
      <c r="AA149" s="593">
        <v>3400000</v>
      </c>
      <c r="AB149" s="593">
        <v>3400000</v>
      </c>
      <c r="AC149" s="593">
        <v>3400000</v>
      </c>
      <c r="AD149" s="593"/>
      <c r="AE149" s="593"/>
      <c r="AF149" s="593"/>
      <c r="AG149" s="593"/>
      <c r="AH149" s="593"/>
      <c r="AI149" s="593"/>
      <c r="AJ149" s="593">
        <v>0</v>
      </c>
    </row>
    <row r="150" spans="2:36" ht="58.5" customHeight="1" x14ac:dyDescent="0.2">
      <c r="B150" s="88"/>
      <c r="C150" s="89"/>
      <c r="D150" s="89"/>
      <c r="E150" s="89"/>
      <c r="F150" s="89"/>
      <c r="G150" s="89"/>
      <c r="H150" s="89"/>
      <c r="I150" s="89"/>
      <c r="J150" s="89"/>
      <c r="K150" s="96" t="s">
        <v>106997</v>
      </c>
      <c r="L150" s="55">
        <v>81111503</v>
      </c>
      <c r="M150" s="102" t="s">
        <v>113448</v>
      </c>
      <c r="N150" s="93">
        <v>45731</v>
      </c>
      <c r="O150" s="93" t="s">
        <v>113001</v>
      </c>
      <c r="P150" s="94" t="s">
        <v>112998</v>
      </c>
      <c r="Q150" s="94" t="s">
        <v>113052</v>
      </c>
      <c r="R150" s="515">
        <v>40000000</v>
      </c>
      <c r="S150" s="474">
        <v>40000000</v>
      </c>
      <c r="T150" s="570"/>
      <c r="U150" s="133"/>
      <c r="V150" s="136"/>
      <c r="W150" s="96" t="s">
        <v>113054</v>
      </c>
      <c r="X150" s="595"/>
      <c r="Y150" s="595"/>
      <c r="Z150" s="595"/>
      <c r="AA150" s="595"/>
      <c r="AB150" s="595"/>
      <c r="AC150" s="595"/>
      <c r="AD150" s="595"/>
      <c r="AE150" s="595"/>
      <c r="AF150" s="595"/>
      <c r="AG150" s="595"/>
      <c r="AH150" s="595"/>
      <c r="AI150" s="595"/>
      <c r="AJ150" s="593">
        <v>0</v>
      </c>
    </row>
    <row r="151" spans="2:36" x14ac:dyDescent="0.2">
      <c r="B151" s="80" t="s">
        <v>105516</v>
      </c>
      <c r="C151" s="80" t="s">
        <v>105573</v>
      </c>
      <c r="D151" s="80" t="s">
        <v>105573</v>
      </c>
      <c r="E151" s="80" t="s">
        <v>105573</v>
      </c>
      <c r="F151" s="80" t="s">
        <v>105553</v>
      </c>
      <c r="G151" s="80" t="s">
        <v>105538</v>
      </c>
      <c r="H151" s="80" t="s">
        <v>105520</v>
      </c>
      <c r="I151" s="80" t="s">
        <v>105579</v>
      </c>
      <c r="J151" s="416"/>
      <c r="K151" s="80"/>
      <c r="L151" s="436"/>
      <c r="M151" s="304" t="s">
        <v>113219</v>
      </c>
      <c r="N151" s="83"/>
      <c r="O151" s="83"/>
      <c r="P151" s="84"/>
      <c r="Q151" s="111"/>
      <c r="R151" s="85">
        <f t="shared" ref="R151:T151" si="145">+R152</f>
        <v>10000000</v>
      </c>
      <c r="S151" s="85">
        <f t="shared" si="145"/>
        <v>0</v>
      </c>
      <c r="T151" s="85">
        <f t="shared" si="145"/>
        <v>10000000</v>
      </c>
      <c r="U151" s="86"/>
      <c r="V151" s="86"/>
      <c r="W151" s="341"/>
      <c r="X151" s="85">
        <f t="shared" ref="X151:AI151" si="146">+X152</f>
        <v>0</v>
      </c>
      <c r="Y151" s="85">
        <f t="shared" si="146"/>
        <v>0</v>
      </c>
      <c r="Z151" s="85">
        <f t="shared" si="146"/>
        <v>0</v>
      </c>
      <c r="AA151" s="85">
        <f t="shared" si="146"/>
        <v>0</v>
      </c>
      <c r="AB151" s="85">
        <f t="shared" si="146"/>
        <v>0</v>
      </c>
      <c r="AC151" s="85">
        <f t="shared" si="146"/>
        <v>0</v>
      </c>
      <c r="AD151" s="85">
        <f t="shared" si="146"/>
        <v>0</v>
      </c>
      <c r="AE151" s="85">
        <f t="shared" si="146"/>
        <v>0</v>
      </c>
      <c r="AF151" s="85">
        <f t="shared" si="146"/>
        <v>0</v>
      </c>
      <c r="AG151" s="85">
        <f t="shared" si="146"/>
        <v>0</v>
      </c>
      <c r="AH151" s="85">
        <f t="shared" si="146"/>
        <v>0</v>
      </c>
      <c r="AI151" s="85">
        <f t="shared" si="146"/>
        <v>0</v>
      </c>
      <c r="AJ151" s="593">
        <v>0</v>
      </c>
    </row>
    <row r="152" spans="2:36" ht="90" x14ac:dyDescent="0.2">
      <c r="B152" s="88"/>
      <c r="C152" s="89"/>
      <c r="D152" s="89"/>
      <c r="E152" s="89"/>
      <c r="F152" s="89"/>
      <c r="G152" s="89"/>
      <c r="H152" s="89"/>
      <c r="I152" s="89"/>
      <c r="J152" s="89"/>
      <c r="K152" s="96" t="s">
        <v>106997</v>
      </c>
      <c r="L152" s="55">
        <v>80101500</v>
      </c>
      <c r="M152" s="92" t="s">
        <v>113825</v>
      </c>
      <c r="N152" s="93">
        <v>45930</v>
      </c>
      <c r="O152" s="93" t="s">
        <v>113070</v>
      </c>
      <c r="P152" s="94" t="s">
        <v>112998</v>
      </c>
      <c r="Q152" s="94" t="s">
        <v>113071</v>
      </c>
      <c r="R152" s="561">
        <v>10000000</v>
      </c>
      <c r="S152" s="472">
        <v>0</v>
      </c>
      <c r="T152" s="472">
        <v>10000000</v>
      </c>
      <c r="U152" s="96"/>
      <c r="V152" s="97"/>
      <c r="W152" s="398" t="s">
        <v>113012</v>
      </c>
      <c r="X152" s="593">
        <v>0</v>
      </c>
      <c r="Y152" s="593">
        <v>0</v>
      </c>
      <c r="Z152" s="593">
        <v>0</v>
      </c>
      <c r="AA152" s="593">
        <v>0</v>
      </c>
      <c r="AB152" s="593">
        <v>0</v>
      </c>
      <c r="AC152" s="593">
        <v>0</v>
      </c>
      <c r="AD152" s="593">
        <v>0</v>
      </c>
      <c r="AE152" s="593">
        <v>0</v>
      </c>
      <c r="AF152" s="593">
        <v>0</v>
      </c>
      <c r="AG152" s="593">
        <v>0</v>
      </c>
      <c r="AH152" s="593">
        <v>0</v>
      </c>
      <c r="AI152" s="593">
        <v>0</v>
      </c>
      <c r="AJ152" s="593">
        <v>0</v>
      </c>
    </row>
    <row r="153" spans="2:36" ht="30" x14ac:dyDescent="0.2">
      <c r="B153" s="80" t="s">
        <v>105516</v>
      </c>
      <c r="C153" s="80" t="s">
        <v>105573</v>
      </c>
      <c r="D153" s="80" t="s">
        <v>105573</v>
      </c>
      <c r="E153" s="80" t="s">
        <v>105573</v>
      </c>
      <c r="F153" s="80" t="s">
        <v>105553</v>
      </c>
      <c r="G153" s="80" t="s">
        <v>105538</v>
      </c>
      <c r="H153" s="80" t="s">
        <v>105520</v>
      </c>
      <c r="I153" s="80" t="s">
        <v>106211</v>
      </c>
      <c r="J153" s="416"/>
      <c r="K153" s="80"/>
      <c r="L153" s="436"/>
      <c r="M153" s="82" t="s">
        <v>113220</v>
      </c>
      <c r="N153" s="83"/>
      <c r="O153" s="83"/>
      <c r="P153" s="84"/>
      <c r="Q153" s="84"/>
      <c r="R153" s="85">
        <f>SUM(R154:R158)</f>
        <v>32000000</v>
      </c>
      <c r="S153" s="85">
        <f>SUM(S154:S158)</f>
        <v>86000000</v>
      </c>
      <c r="T153" s="85">
        <f>SUM(T154:T158)</f>
        <v>46600000</v>
      </c>
      <c r="U153" s="86"/>
      <c r="V153" s="86"/>
      <c r="W153" s="341"/>
      <c r="X153" s="85">
        <f t="shared" ref="X153:AI153" si="147">SUM(X154:X158)</f>
        <v>0</v>
      </c>
      <c r="Y153" s="85">
        <f t="shared" si="147"/>
        <v>0</v>
      </c>
      <c r="Z153" s="85">
        <f t="shared" si="147"/>
        <v>0</v>
      </c>
      <c r="AA153" s="85">
        <f t="shared" si="147"/>
        <v>0</v>
      </c>
      <c r="AB153" s="85">
        <f t="shared" si="147"/>
        <v>0</v>
      </c>
      <c r="AC153" s="85">
        <f t="shared" si="147"/>
        <v>0</v>
      </c>
      <c r="AD153" s="85">
        <f t="shared" si="147"/>
        <v>0</v>
      </c>
      <c r="AE153" s="85">
        <f t="shared" si="147"/>
        <v>0</v>
      </c>
      <c r="AF153" s="85">
        <f t="shared" si="147"/>
        <v>0</v>
      </c>
      <c r="AG153" s="85">
        <f t="shared" si="147"/>
        <v>0</v>
      </c>
      <c r="AH153" s="85">
        <f t="shared" si="147"/>
        <v>0</v>
      </c>
      <c r="AI153" s="85">
        <f t="shared" si="147"/>
        <v>0</v>
      </c>
      <c r="AJ153" s="593">
        <v>0</v>
      </c>
    </row>
    <row r="154" spans="2:36" ht="30" x14ac:dyDescent="0.2">
      <c r="B154" s="88"/>
      <c r="C154" s="89"/>
      <c r="D154" s="89"/>
      <c r="E154" s="89"/>
      <c r="F154" s="89"/>
      <c r="G154" s="89"/>
      <c r="H154" s="89"/>
      <c r="I154" s="89"/>
      <c r="J154" s="89"/>
      <c r="K154" s="96"/>
      <c r="L154" s="91">
        <v>80101500</v>
      </c>
      <c r="M154" s="92" t="s">
        <v>113272</v>
      </c>
      <c r="N154" s="93">
        <v>45300</v>
      </c>
      <c r="O154" s="93" t="s">
        <v>113037</v>
      </c>
      <c r="P154" s="94" t="s">
        <v>113002</v>
      </c>
      <c r="Q154" s="94" t="s">
        <v>113053</v>
      </c>
      <c r="R154" s="95"/>
      <c r="S154" s="95">
        <v>16200000</v>
      </c>
      <c r="T154" s="476">
        <v>13500000</v>
      </c>
      <c r="U154" s="133"/>
      <c r="V154" s="136"/>
      <c r="W154" s="96" t="s">
        <v>113054</v>
      </c>
      <c r="X154" s="594"/>
      <c r="Y154" s="594"/>
      <c r="Z154" s="594"/>
      <c r="AA154" s="594"/>
      <c r="AB154" s="594"/>
      <c r="AC154" s="594"/>
      <c r="AD154" s="594"/>
      <c r="AE154" s="594"/>
      <c r="AF154" s="594"/>
      <c r="AG154" s="594"/>
      <c r="AH154" s="594"/>
      <c r="AI154" s="594"/>
      <c r="AJ154" s="593">
        <v>0</v>
      </c>
    </row>
    <row r="155" spans="2:36" ht="30" x14ac:dyDescent="0.2">
      <c r="B155" s="88"/>
      <c r="C155" s="89"/>
      <c r="D155" s="89"/>
      <c r="E155" s="89"/>
      <c r="F155" s="89"/>
      <c r="G155" s="89"/>
      <c r="H155" s="89"/>
      <c r="I155" s="89"/>
      <c r="J155" s="89"/>
      <c r="K155" s="96"/>
      <c r="L155" s="91">
        <v>80111600</v>
      </c>
      <c r="M155" s="92" t="s">
        <v>113272</v>
      </c>
      <c r="N155" s="93">
        <v>45300</v>
      </c>
      <c r="O155" s="93" t="s">
        <v>113060</v>
      </c>
      <c r="P155" s="94" t="s">
        <v>113002</v>
      </c>
      <c r="Q155" s="94" t="s">
        <v>113053</v>
      </c>
      <c r="R155" s="95"/>
      <c r="S155" s="95">
        <v>16200000</v>
      </c>
      <c r="T155" s="476">
        <v>13500000</v>
      </c>
      <c r="U155" s="133"/>
      <c r="V155" s="136"/>
      <c r="W155" s="96" t="s">
        <v>113054</v>
      </c>
      <c r="X155" s="594"/>
      <c r="Y155" s="594"/>
      <c r="Z155" s="594"/>
      <c r="AA155" s="594"/>
      <c r="AB155" s="594"/>
      <c r="AC155" s="594"/>
      <c r="AD155" s="594"/>
      <c r="AE155" s="594"/>
      <c r="AF155" s="594"/>
      <c r="AG155" s="594"/>
      <c r="AH155" s="594"/>
      <c r="AI155" s="594"/>
      <c r="AJ155" s="593">
        <v>0</v>
      </c>
    </row>
    <row r="156" spans="2:36" ht="30" x14ac:dyDescent="0.2">
      <c r="B156" s="88"/>
      <c r="C156" s="89"/>
      <c r="D156" s="89"/>
      <c r="E156" s="89"/>
      <c r="F156" s="89"/>
      <c r="G156" s="89"/>
      <c r="H156" s="89"/>
      <c r="I156" s="89"/>
      <c r="J156" s="89"/>
      <c r="K156" s="96"/>
      <c r="L156" s="91">
        <v>80111600</v>
      </c>
      <c r="M156" s="102" t="s">
        <v>113272</v>
      </c>
      <c r="N156" s="93">
        <v>45300</v>
      </c>
      <c r="O156" s="93" t="s">
        <v>113060</v>
      </c>
      <c r="P156" s="94" t="s">
        <v>113002</v>
      </c>
      <c r="Q156" s="94" t="s">
        <v>113053</v>
      </c>
      <c r="R156" s="95"/>
      <c r="S156" s="95">
        <v>10800000</v>
      </c>
      <c r="T156" s="476">
        <v>9800000</v>
      </c>
      <c r="U156" s="133"/>
      <c r="V156" s="136"/>
      <c r="W156" s="96" t="s">
        <v>113054</v>
      </c>
      <c r="X156" s="594"/>
      <c r="Y156" s="594"/>
      <c r="Z156" s="594"/>
      <c r="AA156" s="594"/>
      <c r="AB156" s="594"/>
      <c r="AC156" s="594"/>
      <c r="AD156" s="594"/>
      <c r="AE156" s="594"/>
      <c r="AF156" s="594"/>
      <c r="AG156" s="594"/>
      <c r="AH156" s="594"/>
      <c r="AI156" s="594"/>
      <c r="AJ156" s="593">
        <v>0</v>
      </c>
    </row>
    <row r="157" spans="2:36" ht="30" x14ac:dyDescent="0.2">
      <c r="B157" s="88"/>
      <c r="C157" s="89"/>
      <c r="D157" s="89"/>
      <c r="E157" s="89"/>
      <c r="F157" s="89"/>
      <c r="G157" s="89"/>
      <c r="H157" s="89"/>
      <c r="I157" s="89"/>
      <c r="J157" s="89"/>
      <c r="K157" s="96"/>
      <c r="L157" s="91">
        <v>80111600</v>
      </c>
      <c r="M157" s="92" t="s">
        <v>113801</v>
      </c>
      <c r="N157" s="93">
        <v>45505</v>
      </c>
      <c r="O157" s="93" t="s">
        <v>113010</v>
      </c>
      <c r="P157" s="94" t="s">
        <v>113002</v>
      </c>
      <c r="Q157" s="94" t="s">
        <v>113053</v>
      </c>
      <c r="R157" s="95"/>
      <c r="S157" s="95">
        <v>10800000</v>
      </c>
      <c r="T157" s="476">
        <v>9800000</v>
      </c>
      <c r="U157" s="133"/>
      <c r="V157" s="136"/>
      <c r="W157" s="96" t="s">
        <v>113054</v>
      </c>
      <c r="X157" s="594"/>
      <c r="Y157" s="594"/>
      <c r="Z157" s="594"/>
      <c r="AA157" s="594"/>
      <c r="AB157" s="594"/>
      <c r="AC157" s="594"/>
      <c r="AD157" s="594"/>
      <c r="AE157" s="594"/>
      <c r="AF157" s="594"/>
      <c r="AG157" s="594"/>
      <c r="AH157" s="594"/>
      <c r="AI157" s="594"/>
      <c r="AJ157" s="593">
        <v>0</v>
      </c>
    </row>
    <row r="158" spans="2:36" ht="60" x14ac:dyDescent="0.2">
      <c r="B158" s="88"/>
      <c r="C158" s="89"/>
      <c r="D158" s="89"/>
      <c r="E158" s="89"/>
      <c r="F158" s="89"/>
      <c r="G158" s="89"/>
      <c r="H158" s="89"/>
      <c r="I158" s="89"/>
      <c r="J158" s="89"/>
      <c r="K158" s="96" t="s">
        <v>106997</v>
      </c>
      <c r="L158" s="91">
        <v>80161500</v>
      </c>
      <c r="M158" s="92" t="s">
        <v>113449</v>
      </c>
      <c r="N158" s="93">
        <v>45749</v>
      </c>
      <c r="O158" s="93" t="s">
        <v>113006</v>
      </c>
      <c r="P158" s="94" t="s">
        <v>113002</v>
      </c>
      <c r="Q158" s="132" t="s">
        <v>113053</v>
      </c>
      <c r="R158" s="515">
        <v>32000000</v>
      </c>
      <c r="S158" s="476">
        <v>32000000</v>
      </c>
      <c r="T158" s="476">
        <v>0</v>
      </c>
      <c r="U158" s="133"/>
      <c r="V158" s="136"/>
      <c r="W158" s="96" t="s">
        <v>113054</v>
      </c>
      <c r="X158" s="597"/>
      <c r="Y158" s="597"/>
      <c r="Z158" s="597"/>
      <c r="AA158" s="597"/>
      <c r="AB158" s="597"/>
      <c r="AC158" s="597"/>
      <c r="AD158" s="597"/>
      <c r="AE158" s="597"/>
      <c r="AF158" s="597"/>
      <c r="AG158" s="597"/>
      <c r="AH158" s="597"/>
      <c r="AI158" s="597"/>
      <c r="AJ158" s="593">
        <v>0</v>
      </c>
    </row>
    <row r="159" spans="2:36" ht="30" x14ac:dyDescent="0.2">
      <c r="B159" s="334" t="s">
        <v>105516</v>
      </c>
      <c r="C159" s="334" t="s">
        <v>105573</v>
      </c>
      <c r="D159" s="334" t="s">
        <v>105573</v>
      </c>
      <c r="E159" s="334" t="s">
        <v>105573</v>
      </c>
      <c r="F159" s="334" t="s">
        <v>105553</v>
      </c>
      <c r="G159" s="334" t="s">
        <v>105541</v>
      </c>
      <c r="H159" s="72"/>
      <c r="I159" s="72"/>
      <c r="J159" s="415"/>
      <c r="K159" s="72"/>
      <c r="L159" s="73"/>
      <c r="M159" s="74" t="s">
        <v>107040</v>
      </c>
      <c r="N159" s="75"/>
      <c r="O159" s="75"/>
      <c r="P159" s="76"/>
      <c r="Q159" s="76"/>
      <c r="R159" s="77">
        <f t="shared" ref="R159:T159" si="148">R160+R163</f>
        <v>60000000</v>
      </c>
      <c r="S159" s="77">
        <f t="shared" si="148"/>
        <v>60000000</v>
      </c>
      <c r="T159" s="77">
        <f t="shared" si="148"/>
        <v>0</v>
      </c>
      <c r="U159" s="78"/>
      <c r="V159" s="78"/>
      <c r="W159" s="72"/>
      <c r="X159" s="77">
        <f t="shared" ref="X159:Y159" si="149">X160+X163</f>
        <v>0</v>
      </c>
      <c r="Y159" s="77">
        <f t="shared" si="149"/>
        <v>0</v>
      </c>
      <c r="Z159" s="77">
        <f t="shared" ref="Z159:AC159" si="150">Z160+Z163</f>
        <v>0</v>
      </c>
      <c r="AA159" s="77">
        <f t="shared" si="150"/>
        <v>0</v>
      </c>
      <c r="AB159" s="77">
        <f t="shared" si="150"/>
        <v>0</v>
      </c>
      <c r="AC159" s="77">
        <f t="shared" si="150"/>
        <v>0</v>
      </c>
      <c r="AD159" s="77">
        <f t="shared" ref="AD159:AI159" si="151">AD160+AD163</f>
        <v>0</v>
      </c>
      <c r="AE159" s="77">
        <f t="shared" si="151"/>
        <v>0</v>
      </c>
      <c r="AF159" s="77">
        <f t="shared" si="151"/>
        <v>0</v>
      </c>
      <c r="AG159" s="77">
        <f t="shared" si="151"/>
        <v>0</v>
      </c>
      <c r="AH159" s="77">
        <f t="shared" si="151"/>
        <v>0</v>
      </c>
      <c r="AI159" s="77">
        <f t="shared" si="151"/>
        <v>0</v>
      </c>
      <c r="AJ159" s="593">
        <v>0</v>
      </c>
    </row>
    <row r="160" spans="2:36" x14ac:dyDescent="0.2">
      <c r="B160" s="80" t="s">
        <v>105516</v>
      </c>
      <c r="C160" s="80" t="s">
        <v>105573</v>
      </c>
      <c r="D160" s="80" t="s">
        <v>105573</v>
      </c>
      <c r="E160" s="80" t="s">
        <v>105573</v>
      </c>
      <c r="F160" s="80" t="s">
        <v>105553</v>
      </c>
      <c r="G160" s="80" t="s">
        <v>105541</v>
      </c>
      <c r="H160" s="80" t="s">
        <v>105520</v>
      </c>
      <c r="I160" s="80"/>
      <c r="J160" s="416"/>
      <c r="K160" s="80"/>
      <c r="L160" s="436"/>
      <c r="M160" s="82" t="s">
        <v>107042</v>
      </c>
      <c r="N160" s="83"/>
      <c r="O160" s="83"/>
      <c r="P160" s="84"/>
      <c r="Q160" s="84"/>
      <c r="R160" s="85">
        <f t="shared" ref="R160:T160" si="152">R161+R162</f>
        <v>60000000</v>
      </c>
      <c r="S160" s="85">
        <f t="shared" si="152"/>
        <v>60000000</v>
      </c>
      <c r="T160" s="85">
        <f t="shared" si="152"/>
        <v>0</v>
      </c>
      <c r="U160" s="86"/>
      <c r="V160" s="86"/>
      <c r="W160" s="341"/>
      <c r="X160" s="85">
        <f t="shared" ref="X160:Y160" si="153">X161+X162</f>
        <v>0</v>
      </c>
      <c r="Y160" s="85">
        <f t="shared" si="153"/>
        <v>0</v>
      </c>
      <c r="Z160" s="85">
        <f t="shared" ref="Z160:AC160" si="154">Z161+Z162</f>
        <v>0</v>
      </c>
      <c r="AA160" s="85">
        <f t="shared" si="154"/>
        <v>0</v>
      </c>
      <c r="AB160" s="85">
        <f t="shared" si="154"/>
        <v>0</v>
      </c>
      <c r="AC160" s="85">
        <f t="shared" si="154"/>
        <v>0</v>
      </c>
      <c r="AD160" s="85">
        <f t="shared" ref="AD160:AI160" si="155">AD161+AD162</f>
        <v>0</v>
      </c>
      <c r="AE160" s="85">
        <f t="shared" si="155"/>
        <v>0</v>
      </c>
      <c r="AF160" s="85">
        <f t="shared" si="155"/>
        <v>0</v>
      </c>
      <c r="AG160" s="85">
        <f t="shared" si="155"/>
        <v>0</v>
      </c>
      <c r="AH160" s="85">
        <f t="shared" si="155"/>
        <v>0</v>
      </c>
      <c r="AI160" s="85">
        <f t="shared" si="155"/>
        <v>0</v>
      </c>
      <c r="AJ160" s="593">
        <v>0</v>
      </c>
    </row>
    <row r="161" spans="2:36" ht="18" customHeight="1" x14ac:dyDescent="0.2">
      <c r="B161" s="88"/>
      <c r="C161" s="89"/>
      <c r="D161" s="89"/>
      <c r="E161" s="89"/>
      <c r="F161" s="89"/>
      <c r="G161" s="89"/>
      <c r="H161" s="89"/>
      <c r="I161" s="89"/>
      <c r="J161" s="89"/>
      <c r="K161" s="96" t="s">
        <v>107039</v>
      </c>
      <c r="L161" s="55"/>
      <c r="M161" s="102" t="s">
        <v>113099</v>
      </c>
      <c r="N161" s="93">
        <v>45659</v>
      </c>
      <c r="O161" s="93" t="s">
        <v>113060</v>
      </c>
      <c r="P161" s="132" t="s">
        <v>113068</v>
      </c>
      <c r="Q161" s="94" t="s">
        <v>113031</v>
      </c>
      <c r="R161" s="95">
        <v>58000000</v>
      </c>
      <c r="S161" s="95">
        <v>58000000</v>
      </c>
      <c r="T161" s="95">
        <v>0</v>
      </c>
      <c r="U161" s="96"/>
      <c r="V161" s="129"/>
      <c r="W161" s="96" t="s">
        <v>113064</v>
      </c>
      <c r="X161" s="594"/>
      <c r="Y161" s="594"/>
      <c r="Z161" s="594"/>
      <c r="AA161" s="594"/>
      <c r="AB161" s="594"/>
      <c r="AC161" s="594"/>
      <c r="AD161" s="594"/>
      <c r="AE161" s="594"/>
      <c r="AF161" s="594"/>
      <c r="AG161" s="594"/>
      <c r="AH161" s="594"/>
      <c r="AI161" s="594"/>
      <c r="AJ161" s="593">
        <v>0</v>
      </c>
    </row>
    <row r="162" spans="2:36" x14ac:dyDescent="0.2">
      <c r="B162" s="88"/>
      <c r="C162" s="89"/>
      <c r="D162" s="89"/>
      <c r="E162" s="89"/>
      <c r="F162" s="89"/>
      <c r="G162" s="89"/>
      <c r="H162" s="89"/>
      <c r="I162" s="89"/>
      <c r="J162" s="89"/>
      <c r="K162" s="96" t="s">
        <v>107039</v>
      </c>
      <c r="L162" s="55"/>
      <c r="M162" s="102" t="s">
        <v>113100</v>
      </c>
      <c r="N162" s="93" t="s">
        <v>113031</v>
      </c>
      <c r="O162" s="93" t="s">
        <v>113031</v>
      </c>
      <c r="P162" s="94" t="s">
        <v>113031</v>
      </c>
      <c r="Q162" s="94" t="s">
        <v>113031</v>
      </c>
      <c r="R162" s="95">
        <v>2000000</v>
      </c>
      <c r="S162" s="472">
        <v>2000000</v>
      </c>
      <c r="T162" s="472">
        <v>0</v>
      </c>
      <c r="U162" s="96"/>
      <c r="V162" s="129"/>
      <c r="W162" s="96"/>
      <c r="X162" s="593"/>
      <c r="Y162" s="593"/>
      <c r="Z162" s="593"/>
      <c r="AA162" s="593"/>
      <c r="AB162" s="593"/>
      <c r="AC162" s="593"/>
      <c r="AD162" s="593"/>
      <c r="AE162" s="593"/>
      <c r="AF162" s="593"/>
      <c r="AG162" s="593"/>
      <c r="AH162" s="593"/>
      <c r="AI162" s="593"/>
      <c r="AJ162" s="593">
        <v>0</v>
      </c>
    </row>
    <row r="163" spans="2:36" x14ac:dyDescent="0.2">
      <c r="B163" s="80" t="s">
        <v>105516</v>
      </c>
      <c r="C163" s="80" t="s">
        <v>105573</v>
      </c>
      <c r="D163" s="80" t="s">
        <v>105573</v>
      </c>
      <c r="E163" s="80" t="s">
        <v>105573</v>
      </c>
      <c r="F163" s="80" t="s">
        <v>105553</v>
      </c>
      <c r="G163" s="80" t="s">
        <v>105541</v>
      </c>
      <c r="H163" s="80" t="s">
        <v>105573</v>
      </c>
      <c r="I163" s="80"/>
      <c r="J163" s="416"/>
      <c r="K163" s="80"/>
      <c r="L163" s="436"/>
      <c r="M163" s="304" t="s">
        <v>113229</v>
      </c>
      <c r="N163" s="83"/>
      <c r="O163" s="83"/>
      <c r="P163" s="84"/>
      <c r="Q163" s="84"/>
      <c r="R163" s="85">
        <f t="shared" ref="R163:T163" si="156">R164</f>
        <v>0</v>
      </c>
      <c r="S163" s="85">
        <f t="shared" si="156"/>
        <v>0</v>
      </c>
      <c r="T163" s="85">
        <f t="shared" si="156"/>
        <v>0</v>
      </c>
      <c r="U163" s="86"/>
      <c r="V163" s="86"/>
      <c r="W163" s="341"/>
      <c r="X163" s="85">
        <f t="shared" ref="X163:AI163" si="157">X164</f>
        <v>0</v>
      </c>
      <c r="Y163" s="85">
        <f t="shared" si="157"/>
        <v>0</v>
      </c>
      <c r="Z163" s="85">
        <f t="shared" si="157"/>
        <v>0</v>
      </c>
      <c r="AA163" s="85">
        <f t="shared" si="157"/>
        <v>0</v>
      </c>
      <c r="AB163" s="85">
        <f t="shared" si="157"/>
        <v>0</v>
      </c>
      <c r="AC163" s="85">
        <f t="shared" si="157"/>
        <v>0</v>
      </c>
      <c r="AD163" s="85">
        <f t="shared" si="157"/>
        <v>0</v>
      </c>
      <c r="AE163" s="85">
        <f t="shared" si="157"/>
        <v>0</v>
      </c>
      <c r="AF163" s="85">
        <f t="shared" si="157"/>
        <v>0</v>
      </c>
      <c r="AG163" s="85">
        <f t="shared" si="157"/>
        <v>0</v>
      </c>
      <c r="AH163" s="85">
        <f t="shared" si="157"/>
        <v>0</v>
      </c>
      <c r="AI163" s="85">
        <f t="shared" si="157"/>
        <v>0</v>
      </c>
      <c r="AJ163" s="593">
        <v>0</v>
      </c>
    </row>
    <row r="164" spans="2:36" x14ac:dyDescent="0.2">
      <c r="B164" s="90"/>
      <c r="C164" s="90"/>
      <c r="D164" s="90"/>
      <c r="E164" s="90"/>
      <c r="F164" s="90"/>
      <c r="G164" s="90"/>
      <c r="H164" s="90"/>
      <c r="I164" s="90"/>
      <c r="J164" s="89"/>
      <c r="K164" s="96" t="s">
        <v>107039</v>
      </c>
      <c r="L164" s="55">
        <v>81112100</v>
      </c>
      <c r="M164" s="92" t="s">
        <v>113451</v>
      </c>
      <c r="N164" s="93">
        <v>45659</v>
      </c>
      <c r="O164" s="93" t="s">
        <v>113060</v>
      </c>
      <c r="P164" s="132" t="s">
        <v>113068</v>
      </c>
      <c r="Q164" s="94" t="s">
        <v>113031</v>
      </c>
      <c r="R164" s="95">
        <v>0</v>
      </c>
      <c r="S164" s="95">
        <v>0</v>
      </c>
      <c r="T164" s="95">
        <v>0</v>
      </c>
      <c r="U164" s="96"/>
      <c r="V164" s="129"/>
      <c r="W164" s="96" t="s">
        <v>113003</v>
      </c>
      <c r="X164" s="594">
        <v>0</v>
      </c>
      <c r="Y164" s="594">
        <v>0</v>
      </c>
      <c r="Z164" s="594">
        <v>0</v>
      </c>
      <c r="AA164" s="594">
        <v>0</v>
      </c>
      <c r="AB164" s="594">
        <v>0</v>
      </c>
      <c r="AC164" s="594">
        <v>0</v>
      </c>
      <c r="AD164" s="594">
        <v>0</v>
      </c>
      <c r="AE164" s="594">
        <v>0</v>
      </c>
      <c r="AF164" s="594">
        <v>0</v>
      </c>
      <c r="AG164" s="594">
        <v>0</v>
      </c>
      <c r="AH164" s="594">
        <v>0</v>
      </c>
      <c r="AI164" s="594">
        <v>0</v>
      </c>
      <c r="AJ164" s="593">
        <v>0</v>
      </c>
    </row>
    <row r="165" spans="2:36" x14ac:dyDescent="0.2">
      <c r="B165" s="334" t="s">
        <v>105516</v>
      </c>
      <c r="C165" s="334" t="s">
        <v>105573</v>
      </c>
      <c r="D165" s="334" t="s">
        <v>105573</v>
      </c>
      <c r="E165" s="334" t="s">
        <v>105573</v>
      </c>
      <c r="F165" s="334" t="s">
        <v>105553</v>
      </c>
      <c r="G165" s="342" t="s">
        <v>105544</v>
      </c>
      <c r="H165" s="72"/>
      <c r="I165" s="72"/>
      <c r="J165" s="415"/>
      <c r="K165" s="72"/>
      <c r="L165" s="73"/>
      <c r="M165" s="74" t="s">
        <v>107054</v>
      </c>
      <c r="N165" s="75"/>
      <c r="O165" s="75"/>
      <c r="P165" s="76"/>
      <c r="Q165" s="76"/>
      <c r="R165" s="77">
        <f t="shared" ref="R165:T165" si="158">R166+R168</f>
        <v>30000000</v>
      </c>
      <c r="S165" s="77">
        <f t="shared" si="158"/>
        <v>0</v>
      </c>
      <c r="T165" s="77">
        <f t="shared" si="158"/>
        <v>30000000</v>
      </c>
      <c r="U165" s="78"/>
      <c r="V165" s="78"/>
      <c r="W165" s="72"/>
      <c r="X165" s="77">
        <f t="shared" ref="X165:Y165" si="159">X166+X168</f>
        <v>0</v>
      </c>
      <c r="Y165" s="77">
        <f t="shared" si="159"/>
        <v>0</v>
      </c>
      <c r="Z165" s="77">
        <f t="shared" ref="Z165:AC165" si="160">Z166+Z168</f>
        <v>0</v>
      </c>
      <c r="AA165" s="77">
        <f t="shared" si="160"/>
        <v>0</v>
      </c>
      <c r="AB165" s="77">
        <f t="shared" si="160"/>
        <v>0</v>
      </c>
      <c r="AC165" s="77">
        <f t="shared" si="160"/>
        <v>0</v>
      </c>
      <c r="AD165" s="77">
        <f t="shared" ref="AD165:AI165" si="161">AD166+AD168</f>
        <v>0</v>
      </c>
      <c r="AE165" s="77">
        <f t="shared" si="161"/>
        <v>0</v>
      </c>
      <c r="AF165" s="77">
        <f t="shared" si="161"/>
        <v>0</v>
      </c>
      <c r="AG165" s="77">
        <f t="shared" si="161"/>
        <v>0</v>
      </c>
      <c r="AH165" s="77">
        <f t="shared" si="161"/>
        <v>0</v>
      </c>
      <c r="AI165" s="77">
        <f t="shared" si="161"/>
        <v>0</v>
      </c>
      <c r="AJ165" s="593">
        <v>0</v>
      </c>
    </row>
    <row r="166" spans="2:36" x14ac:dyDescent="0.2">
      <c r="B166" s="80" t="s">
        <v>105516</v>
      </c>
      <c r="C166" s="80" t="s">
        <v>105573</v>
      </c>
      <c r="D166" s="80" t="s">
        <v>105573</v>
      </c>
      <c r="E166" s="80" t="s">
        <v>105573</v>
      </c>
      <c r="F166" s="80" t="s">
        <v>105553</v>
      </c>
      <c r="G166" s="81" t="s">
        <v>105544</v>
      </c>
      <c r="H166" s="81" t="s">
        <v>105520</v>
      </c>
      <c r="I166" s="80"/>
      <c r="J166" s="416"/>
      <c r="K166" s="80"/>
      <c r="L166" s="436"/>
      <c r="M166" s="304" t="s">
        <v>107056</v>
      </c>
      <c r="N166" s="83"/>
      <c r="O166" s="83"/>
      <c r="P166" s="84"/>
      <c r="Q166" s="84"/>
      <c r="R166" s="85">
        <f t="shared" ref="R166:T166" si="162">R167</f>
        <v>30000000</v>
      </c>
      <c r="S166" s="85">
        <f t="shared" si="162"/>
        <v>0</v>
      </c>
      <c r="T166" s="85">
        <f t="shared" si="162"/>
        <v>30000000</v>
      </c>
      <c r="U166" s="86"/>
      <c r="V166" s="86"/>
      <c r="W166" s="341"/>
      <c r="X166" s="85">
        <f t="shared" ref="X166:AI166" si="163">X167</f>
        <v>0</v>
      </c>
      <c r="Y166" s="85">
        <f t="shared" si="163"/>
        <v>0</v>
      </c>
      <c r="Z166" s="85">
        <f t="shared" si="163"/>
        <v>0</v>
      </c>
      <c r="AA166" s="85">
        <f t="shared" si="163"/>
        <v>0</v>
      </c>
      <c r="AB166" s="85">
        <f t="shared" si="163"/>
        <v>0</v>
      </c>
      <c r="AC166" s="85">
        <f t="shared" si="163"/>
        <v>0</v>
      </c>
      <c r="AD166" s="85">
        <f t="shared" si="163"/>
        <v>0</v>
      </c>
      <c r="AE166" s="85">
        <f t="shared" si="163"/>
        <v>0</v>
      </c>
      <c r="AF166" s="85">
        <f t="shared" si="163"/>
        <v>0</v>
      </c>
      <c r="AG166" s="85">
        <f t="shared" si="163"/>
        <v>0</v>
      </c>
      <c r="AH166" s="85">
        <f t="shared" si="163"/>
        <v>0</v>
      </c>
      <c r="AI166" s="85">
        <f t="shared" si="163"/>
        <v>0</v>
      </c>
      <c r="AJ166" s="593">
        <v>0</v>
      </c>
    </row>
    <row r="167" spans="2:36" x14ac:dyDescent="0.2">
      <c r="B167" s="80"/>
      <c r="C167" s="80"/>
      <c r="D167" s="80"/>
      <c r="E167" s="80"/>
      <c r="F167" s="80"/>
      <c r="G167" s="81"/>
      <c r="H167" s="81"/>
      <c r="I167" s="80"/>
      <c r="J167" s="416"/>
      <c r="K167" s="96" t="s">
        <v>107053</v>
      </c>
      <c r="L167" s="91">
        <v>93141800</v>
      </c>
      <c r="M167" s="102" t="s">
        <v>113374</v>
      </c>
      <c r="N167" s="94" t="s">
        <v>113031</v>
      </c>
      <c r="O167" s="94" t="s">
        <v>113031</v>
      </c>
      <c r="P167" s="94" t="s">
        <v>113031</v>
      </c>
      <c r="Q167" s="94" t="s">
        <v>113031</v>
      </c>
      <c r="R167" s="95">
        <v>30000000</v>
      </c>
      <c r="S167" s="392">
        <v>0</v>
      </c>
      <c r="T167" s="392">
        <v>30000000</v>
      </c>
      <c r="U167" s="393"/>
      <c r="V167" s="393"/>
      <c r="W167" s="398" t="s">
        <v>113012</v>
      </c>
      <c r="X167" s="598">
        <v>0</v>
      </c>
      <c r="Y167" s="598">
        <v>0</v>
      </c>
      <c r="Z167" s="598">
        <v>0</v>
      </c>
      <c r="AA167" s="598">
        <v>0</v>
      </c>
      <c r="AB167" s="598">
        <v>0</v>
      </c>
      <c r="AC167" s="598">
        <v>0</v>
      </c>
      <c r="AD167" s="598">
        <v>0</v>
      </c>
      <c r="AE167" s="598">
        <v>0</v>
      </c>
      <c r="AF167" s="598">
        <v>0</v>
      </c>
      <c r="AG167" s="598">
        <v>0</v>
      </c>
      <c r="AH167" s="598">
        <v>0</v>
      </c>
      <c r="AI167" s="598">
        <v>0</v>
      </c>
      <c r="AJ167" s="593">
        <v>0</v>
      </c>
    </row>
    <row r="168" spans="2:36" x14ac:dyDescent="0.2">
      <c r="B168" s="80" t="s">
        <v>105516</v>
      </c>
      <c r="C168" s="80" t="s">
        <v>105573</v>
      </c>
      <c r="D168" s="80" t="s">
        <v>105573</v>
      </c>
      <c r="E168" s="80" t="s">
        <v>105573</v>
      </c>
      <c r="F168" s="80" t="s">
        <v>105553</v>
      </c>
      <c r="G168" s="81" t="s">
        <v>105544</v>
      </c>
      <c r="H168" s="81" t="s">
        <v>106109</v>
      </c>
      <c r="I168" s="80"/>
      <c r="J168" s="416"/>
      <c r="K168" s="80"/>
      <c r="L168" s="436"/>
      <c r="M168" s="304" t="s">
        <v>113695</v>
      </c>
      <c r="N168" s="83"/>
      <c r="O168" s="83"/>
      <c r="P168" s="84"/>
      <c r="Q168" s="84"/>
      <c r="R168" s="85">
        <f t="shared" ref="R168:R169" si="164">R169</f>
        <v>0</v>
      </c>
      <c r="S168" s="85">
        <f>S169</f>
        <v>0</v>
      </c>
      <c r="T168" s="85">
        <f>T169</f>
        <v>0</v>
      </c>
      <c r="U168" s="86"/>
      <c r="V168" s="86"/>
      <c r="W168" s="341"/>
      <c r="X168" s="85">
        <f t="shared" ref="X168:AI169" si="165">X169</f>
        <v>0</v>
      </c>
      <c r="Y168" s="85">
        <f t="shared" si="165"/>
        <v>0</v>
      </c>
      <c r="Z168" s="85">
        <f t="shared" si="165"/>
        <v>0</v>
      </c>
      <c r="AA168" s="85">
        <f t="shared" si="165"/>
        <v>0</v>
      </c>
      <c r="AB168" s="85">
        <f t="shared" si="165"/>
        <v>0</v>
      </c>
      <c r="AC168" s="85">
        <f t="shared" si="165"/>
        <v>0</v>
      </c>
      <c r="AD168" s="85">
        <f t="shared" si="165"/>
        <v>0</v>
      </c>
      <c r="AE168" s="85">
        <f t="shared" si="165"/>
        <v>0</v>
      </c>
      <c r="AF168" s="85">
        <f t="shared" si="165"/>
        <v>0</v>
      </c>
      <c r="AG168" s="85">
        <f t="shared" si="165"/>
        <v>0</v>
      </c>
      <c r="AH168" s="85">
        <f t="shared" si="165"/>
        <v>0</v>
      </c>
      <c r="AI168" s="85">
        <f t="shared" si="165"/>
        <v>0</v>
      </c>
      <c r="AJ168" s="593">
        <v>0</v>
      </c>
    </row>
    <row r="169" spans="2:36" x14ac:dyDescent="0.2">
      <c r="B169" s="80" t="s">
        <v>105516</v>
      </c>
      <c r="C169" s="80" t="s">
        <v>105573</v>
      </c>
      <c r="D169" s="80" t="s">
        <v>105573</v>
      </c>
      <c r="E169" s="80" t="s">
        <v>105573</v>
      </c>
      <c r="F169" s="80" t="s">
        <v>105553</v>
      </c>
      <c r="G169" s="81" t="s">
        <v>105544</v>
      </c>
      <c r="H169" s="81" t="s">
        <v>106109</v>
      </c>
      <c r="I169" s="80">
        <v>3</v>
      </c>
      <c r="J169" s="416"/>
      <c r="K169" s="80"/>
      <c r="L169" s="436"/>
      <c r="M169" s="304" t="s">
        <v>107072</v>
      </c>
      <c r="N169" s="83"/>
      <c r="O169" s="83"/>
      <c r="P169" s="84"/>
      <c r="Q169" s="84"/>
      <c r="R169" s="85">
        <f t="shared" si="164"/>
        <v>0</v>
      </c>
      <c r="S169" s="85">
        <f>S170</f>
        <v>0</v>
      </c>
      <c r="T169" s="85">
        <f>T170</f>
        <v>0</v>
      </c>
      <c r="U169" s="86"/>
      <c r="V169" s="86"/>
      <c r="W169" s="341"/>
      <c r="X169" s="85">
        <f t="shared" si="165"/>
        <v>0</v>
      </c>
      <c r="Y169" s="85">
        <f t="shared" si="165"/>
        <v>0</v>
      </c>
      <c r="Z169" s="85">
        <f t="shared" si="165"/>
        <v>0</v>
      </c>
      <c r="AA169" s="85">
        <f t="shared" si="165"/>
        <v>0</v>
      </c>
      <c r="AB169" s="85">
        <f t="shared" si="165"/>
        <v>0</v>
      </c>
      <c r="AC169" s="85">
        <f t="shared" si="165"/>
        <v>0</v>
      </c>
      <c r="AD169" s="85">
        <f t="shared" si="165"/>
        <v>0</v>
      </c>
      <c r="AE169" s="85">
        <f t="shared" si="165"/>
        <v>0</v>
      </c>
      <c r="AF169" s="85">
        <f t="shared" si="165"/>
        <v>0</v>
      </c>
      <c r="AG169" s="85">
        <f t="shared" si="165"/>
        <v>0</v>
      </c>
      <c r="AH169" s="85">
        <f t="shared" si="165"/>
        <v>0</v>
      </c>
      <c r="AI169" s="85">
        <f t="shared" si="165"/>
        <v>0</v>
      </c>
      <c r="AJ169" s="593">
        <v>0</v>
      </c>
    </row>
    <row r="170" spans="2:36" ht="30" x14ac:dyDescent="0.2">
      <c r="B170" s="88"/>
      <c r="C170" s="89"/>
      <c r="D170" s="89"/>
      <c r="E170" s="89"/>
      <c r="F170" s="89"/>
      <c r="G170" s="89"/>
      <c r="H170" s="89"/>
      <c r="I170" s="89"/>
      <c r="J170" s="89"/>
      <c r="K170" s="96" t="s">
        <v>107053</v>
      </c>
      <c r="L170" s="91" t="s">
        <v>113103</v>
      </c>
      <c r="M170" s="102" t="s">
        <v>113696</v>
      </c>
      <c r="N170" s="93">
        <v>45838</v>
      </c>
      <c r="O170" s="93" t="s">
        <v>112997</v>
      </c>
      <c r="P170" s="94" t="s">
        <v>113045</v>
      </c>
      <c r="Q170" s="94" t="s">
        <v>113053</v>
      </c>
      <c r="R170" s="95">
        <v>0</v>
      </c>
      <c r="S170" s="472">
        <v>0</v>
      </c>
      <c r="T170" s="472">
        <v>0</v>
      </c>
      <c r="U170" s="96" t="s">
        <v>106081</v>
      </c>
      <c r="V170" s="129"/>
      <c r="W170" s="96" t="s">
        <v>113029</v>
      </c>
      <c r="X170" s="593">
        <v>0</v>
      </c>
      <c r="Y170" s="593">
        <v>0</v>
      </c>
      <c r="Z170" s="593">
        <v>0</v>
      </c>
      <c r="AA170" s="593">
        <v>0</v>
      </c>
      <c r="AB170" s="593">
        <v>0</v>
      </c>
      <c r="AC170" s="593">
        <v>0</v>
      </c>
      <c r="AD170" s="593">
        <v>0</v>
      </c>
      <c r="AE170" s="593">
        <v>0</v>
      </c>
      <c r="AF170" s="593">
        <v>0</v>
      </c>
      <c r="AG170" s="593">
        <v>0</v>
      </c>
      <c r="AH170" s="593">
        <v>0</v>
      </c>
      <c r="AI170" s="593">
        <v>0</v>
      </c>
      <c r="AJ170" s="593">
        <v>0</v>
      </c>
    </row>
    <row r="171" spans="2:36" ht="30" x14ac:dyDescent="0.2">
      <c r="B171" s="334" t="s">
        <v>105516</v>
      </c>
      <c r="C171" s="334" t="s">
        <v>105573</v>
      </c>
      <c r="D171" s="334" t="s">
        <v>105573</v>
      </c>
      <c r="E171" s="334" t="s">
        <v>105573</v>
      </c>
      <c r="F171" s="334" t="s">
        <v>105553</v>
      </c>
      <c r="G171" s="334" t="s">
        <v>105550</v>
      </c>
      <c r="H171" s="72"/>
      <c r="I171" s="72"/>
      <c r="J171" s="415"/>
      <c r="K171" s="72"/>
      <c r="L171" s="73"/>
      <c r="M171" s="74" t="s">
        <v>107092</v>
      </c>
      <c r="N171" s="75"/>
      <c r="O171" s="75"/>
      <c r="P171" s="76"/>
      <c r="Q171" s="76"/>
      <c r="R171" s="77">
        <f t="shared" ref="R171:T171" si="166">+R172</f>
        <v>174880000</v>
      </c>
      <c r="S171" s="77">
        <f t="shared" si="166"/>
        <v>378600000</v>
      </c>
      <c r="T171" s="77">
        <f t="shared" si="166"/>
        <v>7000000</v>
      </c>
      <c r="U171" s="78"/>
      <c r="V171" s="78"/>
      <c r="W171" s="72"/>
      <c r="X171" s="77">
        <f t="shared" ref="X171:AI171" si="167">+X172</f>
        <v>0</v>
      </c>
      <c r="Y171" s="77">
        <f t="shared" si="167"/>
        <v>0</v>
      </c>
      <c r="Z171" s="77">
        <f t="shared" si="167"/>
        <v>0</v>
      </c>
      <c r="AA171" s="77">
        <f t="shared" si="167"/>
        <v>0</v>
      </c>
      <c r="AB171" s="77">
        <f t="shared" si="167"/>
        <v>0</v>
      </c>
      <c r="AC171" s="77">
        <f t="shared" si="167"/>
        <v>0</v>
      </c>
      <c r="AD171" s="77">
        <f t="shared" si="167"/>
        <v>0</v>
      </c>
      <c r="AE171" s="77">
        <f t="shared" si="167"/>
        <v>0</v>
      </c>
      <c r="AF171" s="77">
        <f t="shared" si="167"/>
        <v>0</v>
      </c>
      <c r="AG171" s="77">
        <f t="shared" si="167"/>
        <v>0</v>
      </c>
      <c r="AH171" s="77">
        <f t="shared" si="167"/>
        <v>0</v>
      </c>
      <c r="AI171" s="77">
        <f t="shared" si="167"/>
        <v>0</v>
      </c>
      <c r="AJ171" s="593">
        <v>0</v>
      </c>
    </row>
    <row r="172" spans="2:36" ht="42" customHeight="1" x14ac:dyDescent="0.2">
      <c r="B172" s="80" t="s">
        <v>105516</v>
      </c>
      <c r="C172" s="80" t="s">
        <v>105573</v>
      </c>
      <c r="D172" s="80" t="s">
        <v>105573</v>
      </c>
      <c r="E172" s="80" t="s">
        <v>105573</v>
      </c>
      <c r="F172" s="80" t="s">
        <v>105553</v>
      </c>
      <c r="G172" s="80" t="s">
        <v>105550</v>
      </c>
      <c r="H172" s="80" t="s">
        <v>105520</v>
      </c>
      <c r="I172" s="80"/>
      <c r="J172" s="416"/>
      <c r="K172" s="80"/>
      <c r="L172" s="436"/>
      <c r="M172" s="82" t="s">
        <v>107094</v>
      </c>
      <c r="N172" s="83"/>
      <c r="O172" s="83"/>
      <c r="P172" s="84"/>
      <c r="Q172" s="84"/>
      <c r="R172" s="85">
        <f>+R173+R175+R178</f>
        <v>174880000</v>
      </c>
      <c r="S172" s="85">
        <f>+S173+S175+S178</f>
        <v>378600000</v>
      </c>
      <c r="T172" s="85">
        <f>+T173+T175+T178</f>
        <v>7000000</v>
      </c>
      <c r="U172" s="86"/>
      <c r="V172" s="86"/>
      <c r="W172" s="341"/>
      <c r="X172" s="85">
        <f t="shared" ref="X172:AI172" si="168">+X173+X175+X178</f>
        <v>0</v>
      </c>
      <c r="Y172" s="85">
        <f t="shared" si="168"/>
        <v>0</v>
      </c>
      <c r="Z172" s="85">
        <f t="shared" si="168"/>
        <v>0</v>
      </c>
      <c r="AA172" s="85">
        <f t="shared" si="168"/>
        <v>0</v>
      </c>
      <c r="AB172" s="85">
        <f t="shared" si="168"/>
        <v>0</v>
      </c>
      <c r="AC172" s="85">
        <f t="shared" si="168"/>
        <v>0</v>
      </c>
      <c r="AD172" s="85">
        <f t="shared" si="168"/>
        <v>0</v>
      </c>
      <c r="AE172" s="85">
        <f t="shared" si="168"/>
        <v>0</v>
      </c>
      <c r="AF172" s="85">
        <f t="shared" si="168"/>
        <v>0</v>
      </c>
      <c r="AG172" s="85">
        <f t="shared" si="168"/>
        <v>0</v>
      </c>
      <c r="AH172" s="85">
        <f t="shared" si="168"/>
        <v>0</v>
      </c>
      <c r="AI172" s="85">
        <f t="shared" si="168"/>
        <v>0</v>
      </c>
      <c r="AJ172" s="593">
        <v>0</v>
      </c>
    </row>
    <row r="173" spans="2:36" ht="30" x14ac:dyDescent="0.2">
      <c r="B173" s="80" t="s">
        <v>105516</v>
      </c>
      <c r="C173" s="80" t="s">
        <v>105573</v>
      </c>
      <c r="D173" s="80" t="s">
        <v>105573</v>
      </c>
      <c r="E173" s="80" t="s">
        <v>105573</v>
      </c>
      <c r="F173" s="80" t="s">
        <v>105553</v>
      </c>
      <c r="G173" s="80" t="s">
        <v>105550</v>
      </c>
      <c r="H173" s="80" t="s">
        <v>105520</v>
      </c>
      <c r="I173" s="80" t="s">
        <v>106211</v>
      </c>
      <c r="J173" s="416"/>
      <c r="K173" s="80"/>
      <c r="L173" s="436"/>
      <c r="M173" s="304" t="s">
        <v>113230</v>
      </c>
      <c r="N173" s="83"/>
      <c r="O173" s="83"/>
      <c r="P173" s="84"/>
      <c r="Q173" s="84"/>
      <c r="R173" s="85">
        <f t="shared" ref="R173:T173" si="169">+R174</f>
        <v>60000000</v>
      </c>
      <c r="S173" s="85">
        <f t="shared" si="169"/>
        <v>60000000</v>
      </c>
      <c r="T173" s="85">
        <f t="shared" si="169"/>
        <v>0</v>
      </c>
      <c r="U173" s="86"/>
      <c r="V173" s="86"/>
      <c r="W173" s="341"/>
      <c r="X173" s="85">
        <f t="shared" ref="X173:AI173" si="170">+X174</f>
        <v>0</v>
      </c>
      <c r="Y173" s="85">
        <f t="shared" si="170"/>
        <v>0</v>
      </c>
      <c r="Z173" s="85">
        <f t="shared" si="170"/>
        <v>0</v>
      </c>
      <c r="AA173" s="85">
        <f t="shared" si="170"/>
        <v>0</v>
      </c>
      <c r="AB173" s="85">
        <f t="shared" si="170"/>
        <v>0</v>
      </c>
      <c r="AC173" s="85">
        <f t="shared" si="170"/>
        <v>0</v>
      </c>
      <c r="AD173" s="85">
        <f t="shared" si="170"/>
        <v>0</v>
      </c>
      <c r="AE173" s="85">
        <f t="shared" si="170"/>
        <v>0</v>
      </c>
      <c r="AF173" s="85">
        <f t="shared" si="170"/>
        <v>0</v>
      </c>
      <c r="AG173" s="85">
        <f t="shared" si="170"/>
        <v>0</v>
      </c>
      <c r="AH173" s="85">
        <f t="shared" si="170"/>
        <v>0</v>
      </c>
      <c r="AI173" s="85">
        <f t="shared" si="170"/>
        <v>0</v>
      </c>
      <c r="AJ173" s="593">
        <v>0</v>
      </c>
    </row>
    <row r="174" spans="2:36" ht="60" x14ac:dyDescent="0.2">
      <c r="B174" s="88"/>
      <c r="C174" s="89"/>
      <c r="D174" s="89"/>
      <c r="E174" s="89"/>
      <c r="F174" s="89"/>
      <c r="G174" s="89"/>
      <c r="H174" s="89"/>
      <c r="I174" s="89"/>
      <c r="J174" s="89"/>
      <c r="K174" s="96" t="s">
        <v>107091</v>
      </c>
      <c r="L174" s="91" t="s">
        <v>113105</v>
      </c>
      <c r="M174" s="92" t="s">
        <v>113452</v>
      </c>
      <c r="N174" s="93">
        <v>45759</v>
      </c>
      <c r="O174" s="93" t="s">
        <v>113087</v>
      </c>
      <c r="P174" s="94" t="s">
        <v>113028</v>
      </c>
      <c r="Q174" s="94" t="s">
        <v>112999</v>
      </c>
      <c r="R174" s="314">
        <v>60000000</v>
      </c>
      <c r="S174" s="472">
        <v>60000000</v>
      </c>
      <c r="T174" s="472">
        <v>0</v>
      </c>
      <c r="U174" s="96"/>
      <c r="V174" s="97"/>
      <c r="W174" s="96" t="s">
        <v>113003</v>
      </c>
      <c r="X174" s="593"/>
      <c r="Y174" s="593"/>
      <c r="Z174" s="593"/>
      <c r="AA174" s="593"/>
      <c r="AB174" s="593"/>
      <c r="AC174" s="593"/>
      <c r="AD174" s="593"/>
      <c r="AE174" s="593"/>
      <c r="AF174" s="593"/>
      <c r="AG174" s="593"/>
      <c r="AH174" s="593"/>
      <c r="AI174" s="593"/>
      <c r="AJ174" s="593">
        <v>0</v>
      </c>
    </row>
    <row r="175" spans="2:36" ht="30" x14ac:dyDescent="0.2">
      <c r="B175" s="80" t="s">
        <v>105516</v>
      </c>
      <c r="C175" s="80" t="s">
        <v>105573</v>
      </c>
      <c r="D175" s="80" t="s">
        <v>105573</v>
      </c>
      <c r="E175" s="80" t="s">
        <v>105573</v>
      </c>
      <c r="F175" s="80" t="s">
        <v>105553</v>
      </c>
      <c r="G175" s="80" t="s">
        <v>105550</v>
      </c>
      <c r="H175" s="80" t="s">
        <v>105520</v>
      </c>
      <c r="I175" s="80" t="s">
        <v>106214</v>
      </c>
      <c r="J175" s="416"/>
      <c r="K175" s="80"/>
      <c r="L175" s="436"/>
      <c r="M175" s="304" t="s">
        <v>107102</v>
      </c>
      <c r="N175" s="83"/>
      <c r="O175" s="83"/>
      <c r="P175" s="84"/>
      <c r="Q175" s="84"/>
      <c r="R175" s="85">
        <f>SUM(R176:R177)</f>
        <v>73360000</v>
      </c>
      <c r="S175" s="85">
        <f>SUM(S176:S177)</f>
        <v>284000000</v>
      </c>
      <c r="T175" s="85">
        <f>SUM(T176:T177)</f>
        <v>0</v>
      </c>
      <c r="U175" s="86"/>
      <c r="V175" s="86"/>
      <c r="W175" s="341"/>
      <c r="X175" s="85">
        <f t="shared" ref="X175:AI175" si="171">SUM(X176:X177)</f>
        <v>0</v>
      </c>
      <c r="Y175" s="85">
        <f t="shared" si="171"/>
        <v>0</v>
      </c>
      <c r="Z175" s="85">
        <f t="shared" si="171"/>
        <v>0</v>
      </c>
      <c r="AA175" s="85">
        <f t="shared" si="171"/>
        <v>0</v>
      </c>
      <c r="AB175" s="85">
        <f t="shared" si="171"/>
        <v>0</v>
      </c>
      <c r="AC175" s="85">
        <f t="shared" si="171"/>
        <v>0</v>
      </c>
      <c r="AD175" s="85">
        <f t="shared" si="171"/>
        <v>0</v>
      </c>
      <c r="AE175" s="85">
        <f t="shared" si="171"/>
        <v>0</v>
      </c>
      <c r="AF175" s="85">
        <f t="shared" si="171"/>
        <v>0</v>
      </c>
      <c r="AG175" s="85">
        <f t="shared" si="171"/>
        <v>0</v>
      </c>
      <c r="AH175" s="85">
        <f t="shared" si="171"/>
        <v>0</v>
      </c>
      <c r="AI175" s="85">
        <f t="shared" si="171"/>
        <v>0</v>
      </c>
      <c r="AJ175" s="593">
        <v>0</v>
      </c>
    </row>
    <row r="176" spans="2:36" ht="75" customHeight="1" x14ac:dyDescent="0.2">
      <c r="B176" s="88"/>
      <c r="C176" s="89"/>
      <c r="D176" s="89"/>
      <c r="E176" s="89"/>
      <c r="F176" s="89"/>
      <c r="G176" s="89"/>
      <c r="H176" s="89"/>
      <c r="I176" s="89"/>
      <c r="J176" s="89"/>
      <c r="K176" s="96" t="s">
        <v>107091</v>
      </c>
      <c r="L176" s="91" t="s">
        <v>113133</v>
      </c>
      <c r="M176" s="92" t="s">
        <v>113728</v>
      </c>
      <c r="N176" s="93"/>
      <c r="O176" s="93"/>
      <c r="P176" s="94"/>
      <c r="Q176" s="94"/>
      <c r="R176" s="314">
        <v>23360000</v>
      </c>
      <c r="S176" s="472">
        <v>234000000</v>
      </c>
      <c r="T176" s="472">
        <v>0</v>
      </c>
      <c r="U176" s="96"/>
      <c r="V176" s="97"/>
      <c r="W176" s="96" t="s">
        <v>113000</v>
      </c>
      <c r="X176" s="593"/>
      <c r="Y176" s="593"/>
      <c r="Z176" s="593"/>
      <c r="AA176" s="593"/>
      <c r="AB176" s="593"/>
      <c r="AC176" s="593"/>
      <c r="AD176" s="593"/>
      <c r="AE176" s="593"/>
      <c r="AF176" s="593"/>
      <c r="AG176" s="593"/>
      <c r="AH176" s="593"/>
      <c r="AI176" s="593"/>
      <c r="AJ176" s="593">
        <v>0</v>
      </c>
    </row>
    <row r="177" spans="2:36" ht="60" x14ac:dyDescent="0.2">
      <c r="B177" s="88"/>
      <c r="C177" s="89"/>
      <c r="D177" s="89"/>
      <c r="E177" s="89"/>
      <c r="F177" s="89"/>
      <c r="G177" s="89"/>
      <c r="H177" s="89"/>
      <c r="I177" s="89"/>
      <c r="J177" s="89"/>
      <c r="K177" s="96" t="s">
        <v>107091</v>
      </c>
      <c r="L177" s="91" t="s">
        <v>113275</v>
      </c>
      <c r="M177" s="92" t="s">
        <v>113749</v>
      </c>
      <c r="N177" s="93">
        <v>45679</v>
      </c>
      <c r="O177" s="93" t="s">
        <v>113037</v>
      </c>
      <c r="P177" s="94" t="s">
        <v>113011</v>
      </c>
      <c r="Q177" s="94" t="s">
        <v>113096</v>
      </c>
      <c r="R177" s="314">
        <v>50000000</v>
      </c>
      <c r="S177" s="472">
        <v>50000000</v>
      </c>
      <c r="T177" s="472">
        <v>0</v>
      </c>
      <c r="U177" s="96"/>
      <c r="V177" s="97"/>
      <c r="W177" s="96" t="s">
        <v>113035</v>
      </c>
      <c r="X177" s="593"/>
      <c r="Y177" s="593"/>
      <c r="Z177" s="593"/>
      <c r="AA177" s="593"/>
      <c r="AB177" s="593"/>
      <c r="AC177" s="593"/>
      <c r="AD177" s="593"/>
      <c r="AE177" s="593"/>
      <c r="AF177" s="593"/>
      <c r="AG177" s="593"/>
      <c r="AH177" s="593"/>
      <c r="AI177" s="593"/>
      <c r="AJ177" s="593">
        <v>0</v>
      </c>
    </row>
    <row r="178" spans="2:36" ht="30" x14ac:dyDescent="0.2">
      <c r="B178" s="80" t="s">
        <v>105516</v>
      </c>
      <c r="C178" s="80" t="s">
        <v>105573</v>
      </c>
      <c r="D178" s="80" t="s">
        <v>105573</v>
      </c>
      <c r="E178" s="80" t="s">
        <v>105573</v>
      </c>
      <c r="F178" s="80" t="s">
        <v>105553</v>
      </c>
      <c r="G178" s="80" t="s">
        <v>105550</v>
      </c>
      <c r="H178" s="80" t="s">
        <v>105520</v>
      </c>
      <c r="I178" s="80" t="s">
        <v>106217</v>
      </c>
      <c r="J178" s="416"/>
      <c r="K178" s="80"/>
      <c r="L178" s="436"/>
      <c r="M178" s="304" t="s">
        <v>107104</v>
      </c>
      <c r="N178" s="83"/>
      <c r="O178" s="83"/>
      <c r="P178" s="84"/>
      <c r="Q178" s="84"/>
      <c r="R178" s="85">
        <f>SUM(R179:R182)</f>
        <v>41520000</v>
      </c>
      <c r="S178" s="85">
        <f>SUM(S179:S182)</f>
        <v>34600000</v>
      </c>
      <c r="T178" s="85">
        <f>SUM(T179:T182)</f>
        <v>7000000</v>
      </c>
      <c r="U178" s="86"/>
      <c r="V178" s="86"/>
      <c r="W178" s="341"/>
      <c r="X178" s="85">
        <f t="shared" ref="X178:AI178" si="172">SUM(X179:X182)</f>
        <v>0</v>
      </c>
      <c r="Y178" s="85">
        <f t="shared" si="172"/>
        <v>0</v>
      </c>
      <c r="Z178" s="85">
        <f t="shared" si="172"/>
        <v>0</v>
      </c>
      <c r="AA178" s="85">
        <f t="shared" si="172"/>
        <v>0</v>
      </c>
      <c r="AB178" s="85">
        <f t="shared" si="172"/>
        <v>0</v>
      </c>
      <c r="AC178" s="85">
        <f t="shared" si="172"/>
        <v>0</v>
      </c>
      <c r="AD178" s="85">
        <f t="shared" si="172"/>
        <v>0</v>
      </c>
      <c r="AE178" s="85">
        <f t="shared" si="172"/>
        <v>0</v>
      </c>
      <c r="AF178" s="85">
        <f t="shared" si="172"/>
        <v>0</v>
      </c>
      <c r="AG178" s="85">
        <f t="shared" si="172"/>
        <v>0</v>
      </c>
      <c r="AH178" s="85">
        <f t="shared" si="172"/>
        <v>0</v>
      </c>
      <c r="AI178" s="85">
        <f t="shared" si="172"/>
        <v>0</v>
      </c>
      <c r="AJ178" s="593">
        <v>0</v>
      </c>
    </row>
    <row r="179" spans="2:36" ht="90" x14ac:dyDescent="0.2">
      <c r="B179" s="88"/>
      <c r="C179" s="89"/>
      <c r="D179" s="89"/>
      <c r="E179" s="89"/>
      <c r="F179" s="89"/>
      <c r="G179" s="89"/>
      <c r="H179" s="89"/>
      <c r="I179" s="89"/>
      <c r="J179" s="89"/>
      <c r="K179" s="96" t="s">
        <v>107091</v>
      </c>
      <c r="L179" s="91">
        <v>72154100</v>
      </c>
      <c r="M179" s="92" t="s">
        <v>113526</v>
      </c>
      <c r="N179" s="93"/>
      <c r="O179" s="93"/>
      <c r="P179" s="94"/>
      <c r="Q179" s="93"/>
      <c r="R179" s="314">
        <v>15520000</v>
      </c>
      <c r="S179" s="472">
        <v>15600000</v>
      </c>
      <c r="T179" s="472">
        <v>0</v>
      </c>
      <c r="U179" s="96" t="s">
        <v>106081</v>
      </c>
      <c r="V179" s="97"/>
      <c r="W179" s="96" t="s">
        <v>113000</v>
      </c>
      <c r="X179" s="593"/>
      <c r="Y179" s="593"/>
      <c r="Z179" s="593"/>
      <c r="AA179" s="593"/>
      <c r="AB179" s="593"/>
      <c r="AC179" s="593"/>
      <c r="AD179" s="593"/>
      <c r="AE179" s="593"/>
      <c r="AF179" s="593"/>
      <c r="AG179" s="593"/>
      <c r="AH179" s="593"/>
      <c r="AI179" s="593"/>
      <c r="AJ179" s="593">
        <v>0</v>
      </c>
    </row>
    <row r="180" spans="2:36" ht="38.25" customHeight="1" x14ac:dyDescent="0.2">
      <c r="B180" s="138"/>
      <c r="C180" s="139"/>
      <c r="D180" s="139"/>
      <c r="E180" s="139"/>
      <c r="F180" s="139"/>
      <c r="G180" s="139"/>
      <c r="H180" s="139"/>
      <c r="I180" s="139"/>
      <c r="J180" s="139"/>
      <c r="K180" s="96" t="s">
        <v>107091</v>
      </c>
      <c r="L180" s="127">
        <v>81141500</v>
      </c>
      <c r="M180" s="120" t="s">
        <v>113056</v>
      </c>
      <c r="N180" s="121">
        <v>45680</v>
      </c>
      <c r="O180" s="93" t="s">
        <v>113001</v>
      </c>
      <c r="P180" s="94" t="s">
        <v>112998</v>
      </c>
      <c r="Q180" s="94" t="s">
        <v>113052</v>
      </c>
      <c r="R180" s="314">
        <v>7000000</v>
      </c>
      <c r="S180" s="477">
        <v>7000000</v>
      </c>
      <c r="T180" s="477">
        <v>0</v>
      </c>
      <c r="U180" s="96"/>
      <c r="V180" s="141"/>
      <c r="W180" s="96" t="s">
        <v>113057</v>
      </c>
      <c r="X180" s="599"/>
      <c r="Y180" s="599"/>
      <c r="Z180" s="599"/>
      <c r="AA180" s="599"/>
      <c r="AB180" s="599"/>
      <c r="AC180" s="599"/>
      <c r="AD180" s="599"/>
      <c r="AE180" s="599"/>
      <c r="AF180" s="599"/>
      <c r="AG180" s="599"/>
      <c r="AH180" s="599"/>
      <c r="AI180" s="599"/>
      <c r="AJ180" s="593">
        <v>0</v>
      </c>
    </row>
    <row r="181" spans="2:36" ht="30" x14ac:dyDescent="0.2">
      <c r="B181" s="138"/>
      <c r="C181" s="139"/>
      <c r="D181" s="139"/>
      <c r="E181" s="139"/>
      <c r="F181" s="139"/>
      <c r="G181" s="139"/>
      <c r="H181" s="139"/>
      <c r="I181" s="139"/>
      <c r="J181" s="139"/>
      <c r="K181" s="96" t="s">
        <v>107091</v>
      </c>
      <c r="L181" s="91">
        <v>76121500</v>
      </c>
      <c r="M181" s="92" t="s">
        <v>113450</v>
      </c>
      <c r="N181" s="93">
        <v>45762</v>
      </c>
      <c r="O181" s="93" t="s">
        <v>113006</v>
      </c>
      <c r="P181" s="94" t="s">
        <v>113079</v>
      </c>
      <c r="Q181" s="94" t="s">
        <v>113052</v>
      </c>
      <c r="R181" s="118">
        <v>7000000</v>
      </c>
      <c r="S181" s="474"/>
      <c r="T181" s="474">
        <v>7000000</v>
      </c>
      <c r="U181" s="133"/>
      <c r="V181" s="136"/>
      <c r="W181" s="96" t="s">
        <v>113054</v>
      </c>
      <c r="X181" s="595"/>
      <c r="Y181" s="595"/>
      <c r="Z181" s="595"/>
      <c r="AA181" s="595"/>
      <c r="AB181" s="595"/>
      <c r="AC181" s="595"/>
      <c r="AD181" s="595"/>
      <c r="AE181" s="595"/>
      <c r="AF181" s="595"/>
      <c r="AG181" s="595"/>
      <c r="AH181" s="595"/>
      <c r="AI181" s="595"/>
      <c r="AJ181" s="593">
        <v>0</v>
      </c>
    </row>
    <row r="182" spans="2:36" x14ac:dyDescent="0.2">
      <c r="B182" s="138"/>
      <c r="C182" s="139"/>
      <c r="D182" s="139"/>
      <c r="E182" s="139"/>
      <c r="F182" s="139"/>
      <c r="G182" s="139"/>
      <c r="H182" s="139"/>
      <c r="I182" s="139"/>
      <c r="J182" s="139"/>
      <c r="K182" s="96"/>
      <c r="L182" s="91"/>
      <c r="M182" s="120" t="s">
        <v>113114</v>
      </c>
      <c r="N182" s="121" t="s">
        <v>113031</v>
      </c>
      <c r="O182" s="121" t="s">
        <v>113031</v>
      </c>
      <c r="P182" s="121" t="s">
        <v>113031</v>
      </c>
      <c r="Q182" s="121" t="s">
        <v>113031</v>
      </c>
      <c r="R182" s="95">
        <v>12000000</v>
      </c>
      <c r="S182" s="474">
        <v>12000000</v>
      </c>
      <c r="T182" s="474">
        <v>0</v>
      </c>
      <c r="U182" s="133"/>
      <c r="V182" s="136"/>
      <c r="W182" s="96"/>
      <c r="X182" s="595"/>
      <c r="Y182" s="595"/>
      <c r="Z182" s="595"/>
      <c r="AA182" s="595"/>
      <c r="AB182" s="595"/>
      <c r="AC182" s="595"/>
      <c r="AD182" s="595"/>
      <c r="AE182" s="595"/>
      <c r="AF182" s="595"/>
      <c r="AG182" s="595"/>
      <c r="AH182" s="595"/>
      <c r="AI182" s="595"/>
      <c r="AJ182" s="593">
        <v>0</v>
      </c>
    </row>
    <row r="183" spans="2:36" x14ac:dyDescent="0.2">
      <c r="B183" s="63" t="s">
        <v>105516</v>
      </c>
      <c r="C183" s="63" t="s">
        <v>105573</v>
      </c>
      <c r="D183" s="63" t="s">
        <v>105573</v>
      </c>
      <c r="E183" s="63" t="s">
        <v>105573</v>
      </c>
      <c r="F183" s="63" t="s">
        <v>105556</v>
      </c>
      <c r="G183" s="63"/>
      <c r="H183" s="63"/>
      <c r="I183" s="63"/>
      <c r="J183" s="414"/>
      <c r="K183" s="254"/>
      <c r="L183" s="65"/>
      <c r="M183" s="66" t="s">
        <v>107164</v>
      </c>
      <c r="N183" s="67"/>
      <c r="O183" s="67"/>
      <c r="P183" s="68"/>
      <c r="Q183" s="68"/>
      <c r="R183" s="69">
        <f t="shared" ref="R183:T183" si="173">+R184+R188+R191+R195+R198</f>
        <v>496000000</v>
      </c>
      <c r="S183" s="69">
        <f t="shared" si="173"/>
        <v>355000000</v>
      </c>
      <c r="T183" s="69">
        <f t="shared" si="173"/>
        <v>141000000</v>
      </c>
      <c r="U183" s="70"/>
      <c r="V183" s="70"/>
      <c r="W183" s="254"/>
      <c r="X183" s="69">
        <f t="shared" ref="X183:Y183" si="174">+X184+X188+X191+X195+X198</f>
        <v>0</v>
      </c>
      <c r="Y183" s="69">
        <f t="shared" si="174"/>
        <v>0</v>
      </c>
      <c r="Z183" s="69">
        <f t="shared" ref="Z183:AC183" si="175">+Z184+Z188+Z191+Z195+Z198</f>
        <v>0</v>
      </c>
      <c r="AA183" s="69">
        <f t="shared" si="175"/>
        <v>0</v>
      </c>
      <c r="AB183" s="69">
        <f t="shared" si="175"/>
        <v>0</v>
      </c>
      <c r="AC183" s="69">
        <f t="shared" si="175"/>
        <v>0</v>
      </c>
      <c r="AD183" s="69">
        <f t="shared" ref="AD183:AI183" si="176">+AD184+AD188+AD191+AD195+AD198</f>
        <v>0</v>
      </c>
      <c r="AE183" s="69">
        <f t="shared" si="176"/>
        <v>0</v>
      </c>
      <c r="AF183" s="69">
        <f t="shared" si="176"/>
        <v>0</v>
      </c>
      <c r="AG183" s="69">
        <f t="shared" si="176"/>
        <v>0</v>
      </c>
      <c r="AH183" s="69">
        <f t="shared" si="176"/>
        <v>0</v>
      </c>
      <c r="AI183" s="69">
        <f t="shared" si="176"/>
        <v>0</v>
      </c>
      <c r="AJ183" s="593">
        <v>0</v>
      </c>
    </row>
    <row r="184" spans="2:36" x14ac:dyDescent="0.2">
      <c r="B184" s="334" t="s">
        <v>105516</v>
      </c>
      <c r="C184" s="334" t="s">
        <v>105573</v>
      </c>
      <c r="D184" s="334" t="s">
        <v>105573</v>
      </c>
      <c r="E184" s="334" t="s">
        <v>105573</v>
      </c>
      <c r="F184" s="334" t="s">
        <v>105556</v>
      </c>
      <c r="G184" s="334" t="s">
        <v>105535</v>
      </c>
      <c r="H184" s="72"/>
      <c r="I184" s="72"/>
      <c r="J184" s="415"/>
      <c r="K184" s="72"/>
      <c r="L184" s="73"/>
      <c r="M184" s="74" t="s">
        <v>107166</v>
      </c>
      <c r="N184" s="75"/>
      <c r="O184" s="75"/>
      <c r="P184" s="76"/>
      <c r="Q184" s="76"/>
      <c r="R184" s="77">
        <f t="shared" ref="R184:T184" si="177">+R185</f>
        <v>90000000</v>
      </c>
      <c r="S184" s="77">
        <f t="shared" si="177"/>
        <v>90000000</v>
      </c>
      <c r="T184" s="77">
        <f t="shared" si="177"/>
        <v>0</v>
      </c>
      <c r="U184" s="78"/>
      <c r="V184" s="78"/>
      <c r="W184" s="72"/>
      <c r="X184" s="77">
        <f t="shared" ref="X184:AI184" si="178">+X185</f>
        <v>0</v>
      </c>
      <c r="Y184" s="77">
        <f t="shared" si="178"/>
        <v>0</v>
      </c>
      <c r="Z184" s="77">
        <f t="shared" si="178"/>
        <v>0</v>
      </c>
      <c r="AA184" s="77">
        <f t="shared" si="178"/>
        <v>0</v>
      </c>
      <c r="AB184" s="77">
        <f t="shared" si="178"/>
        <v>0</v>
      </c>
      <c r="AC184" s="77">
        <f t="shared" si="178"/>
        <v>0</v>
      </c>
      <c r="AD184" s="77">
        <f t="shared" si="178"/>
        <v>0</v>
      </c>
      <c r="AE184" s="77">
        <f t="shared" si="178"/>
        <v>0</v>
      </c>
      <c r="AF184" s="77">
        <f t="shared" si="178"/>
        <v>0</v>
      </c>
      <c r="AG184" s="77">
        <f t="shared" si="178"/>
        <v>0</v>
      </c>
      <c r="AH184" s="77">
        <f t="shared" si="178"/>
        <v>0</v>
      </c>
      <c r="AI184" s="77">
        <f t="shared" si="178"/>
        <v>0</v>
      </c>
      <c r="AJ184" s="593">
        <v>0</v>
      </c>
    </row>
    <row r="185" spans="2:36" x14ac:dyDescent="0.2">
      <c r="B185" s="80" t="s">
        <v>105516</v>
      </c>
      <c r="C185" s="80" t="s">
        <v>105573</v>
      </c>
      <c r="D185" s="80" t="s">
        <v>105573</v>
      </c>
      <c r="E185" s="80" t="s">
        <v>105573</v>
      </c>
      <c r="F185" s="80" t="s">
        <v>105556</v>
      </c>
      <c r="G185" s="80" t="s">
        <v>105535</v>
      </c>
      <c r="H185" s="80" t="s">
        <v>106109</v>
      </c>
      <c r="I185" s="80"/>
      <c r="J185" s="416"/>
      <c r="K185" s="80"/>
      <c r="L185" s="436"/>
      <c r="M185" s="82" t="s">
        <v>107178</v>
      </c>
      <c r="N185" s="83"/>
      <c r="O185" s="83"/>
      <c r="P185" s="84"/>
      <c r="Q185" s="84"/>
      <c r="R185" s="85">
        <f t="shared" ref="R185:T185" si="179">SUM(R186+R187)</f>
        <v>90000000</v>
      </c>
      <c r="S185" s="85">
        <f t="shared" si="179"/>
        <v>90000000</v>
      </c>
      <c r="T185" s="85">
        <f t="shared" si="179"/>
        <v>0</v>
      </c>
      <c r="U185" s="86"/>
      <c r="V185" s="86"/>
      <c r="W185" s="341"/>
      <c r="X185" s="85">
        <f t="shared" ref="X185:Y185" si="180">SUM(X186+X187)</f>
        <v>0</v>
      </c>
      <c r="Y185" s="85">
        <f t="shared" si="180"/>
        <v>0</v>
      </c>
      <c r="Z185" s="85">
        <f t="shared" ref="Z185:AC185" si="181">SUM(Z186+Z187)</f>
        <v>0</v>
      </c>
      <c r="AA185" s="85">
        <f t="shared" si="181"/>
        <v>0</v>
      </c>
      <c r="AB185" s="85">
        <f t="shared" si="181"/>
        <v>0</v>
      </c>
      <c r="AC185" s="85">
        <f t="shared" si="181"/>
        <v>0</v>
      </c>
      <c r="AD185" s="85">
        <f t="shared" ref="AD185:AI185" si="182">SUM(AD186+AD187)</f>
        <v>0</v>
      </c>
      <c r="AE185" s="85">
        <f t="shared" si="182"/>
        <v>0</v>
      </c>
      <c r="AF185" s="85">
        <f t="shared" si="182"/>
        <v>0</v>
      </c>
      <c r="AG185" s="85">
        <f t="shared" si="182"/>
        <v>0</v>
      </c>
      <c r="AH185" s="85">
        <f t="shared" si="182"/>
        <v>0</v>
      </c>
      <c r="AI185" s="85">
        <f t="shared" si="182"/>
        <v>0</v>
      </c>
      <c r="AJ185" s="593">
        <v>0</v>
      </c>
    </row>
    <row r="186" spans="2:36" ht="45" x14ac:dyDescent="0.2">
      <c r="B186" s="88"/>
      <c r="C186" s="89"/>
      <c r="D186" s="89"/>
      <c r="E186" s="89"/>
      <c r="F186" s="89"/>
      <c r="G186" s="89"/>
      <c r="H186" s="89"/>
      <c r="I186" s="89"/>
      <c r="J186" s="89"/>
      <c r="K186" s="96" t="s">
        <v>107165</v>
      </c>
      <c r="L186" s="91" t="s">
        <v>113115</v>
      </c>
      <c r="M186" s="92" t="s">
        <v>113417</v>
      </c>
      <c r="N186" s="93">
        <v>45713</v>
      </c>
      <c r="O186" s="93" t="s">
        <v>113001</v>
      </c>
      <c r="P186" s="94" t="s">
        <v>113004</v>
      </c>
      <c r="Q186" s="94" t="s">
        <v>113053</v>
      </c>
      <c r="R186" s="95">
        <v>50000000</v>
      </c>
      <c r="S186" s="472">
        <v>50000000</v>
      </c>
      <c r="T186" s="472">
        <v>0</v>
      </c>
      <c r="U186" s="96"/>
      <c r="V186" s="97"/>
      <c r="W186" s="398" t="s">
        <v>113012</v>
      </c>
      <c r="X186" s="593"/>
      <c r="Y186" s="593"/>
      <c r="Z186" s="593"/>
      <c r="AA186" s="593"/>
      <c r="AB186" s="593"/>
      <c r="AC186" s="593"/>
      <c r="AD186" s="593"/>
      <c r="AE186" s="593"/>
      <c r="AF186" s="593"/>
      <c r="AG186" s="593"/>
      <c r="AH186" s="593"/>
      <c r="AI186" s="593"/>
      <c r="AJ186" s="593">
        <v>0</v>
      </c>
    </row>
    <row r="187" spans="2:36" ht="45" x14ac:dyDescent="0.2">
      <c r="B187" s="88"/>
      <c r="C187" s="89"/>
      <c r="D187" s="89"/>
      <c r="E187" s="89"/>
      <c r="F187" s="89"/>
      <c r="G187" s="89"/>
      <c r="H187" s="89"/>
      <c r="I187" s="89"/>
      <c r="J187" s="89"/>
      <c r="K187" s="96" t="s">
        <v>107165</v>
      </c>
      <c r="L187" s="55"/>
      <c r="M187" s="92" t="s">
        <v>113729</v>
      </c>
      <c r="N187" s="93">
        <v>45708</v>
      </c>
      <c r="O187" s="94" t="s">
        <v>113031</v>
      </c>
      <c r="P187" s="94" t="s">
        <v>113031</v>
      </c>
      <c r="Q187" s="94" t="s">
        <v>113031</v>
      </c>
      <c r="R187" s="95">
        <v>40000000</v>
      </c>
      <c r="S187" s="472">
        <v>40000000</v>
      </c>
      <c r="T187" s="472">
        <v>0</v>
      </c>
      <c r="U187" s="96"/>
      <c r="V187" s="97"/>
      <c r="W187" s="398" t="s">
        <v>113012</v>
      </c>
      <c r="X187" s="593"/>
      <c r="Y187" s="593"/>
      <c r="Z187" s="593"/>
      <c r="AA187" s="593"/>
      <c r="AB187" s="593"/>
      <c r="AC187" s="593"/>
      <c r="AD187" s="593"/>
      <c r="AE187" s="593"/>
      <c r="AF187" s="593"/>
      <c r="AG187" s="593"/>
      <c r="AH187" s="593"/>
      <c r="AI187" s="593"/>
      <c r="AJ187" s="593">
        <v>0</v>
      </c>
    </row>
    <row r="188" spans="2:36" ht="30" x14ac:dyDescent="0.2">
      <c r="B188" s="334" t="s">
        <v>105516</v>
      </c>
      <c r="C188" s="334" t="s">
        <v>105573</v>
      </c>
      <c r="D188" s="334" t="s">
        <v>105573</v>
      </c>
      <c r="E188" s="334" t="s">
        <v>105573</v>
      </c>
      <c r="F188" s="334" t="s">
        <v>105556</v>
      </c>
      <c r="G188" s="334" t="s">
        <v>105538</v>
      </c>
      <c r="H188" s="72"/>
      <c r="I188" s="72"/>
      <c r="J188" s="415"/>
      <c r="K188" s="72"/>
      <c r="L188" s="73"/>
      <c r="M188" s="74" t="s">
        <v>107180</v>
      </c>
      <c r="N188" s="75"/>
      <c r="O188" s="75"/>
      <c r="P188" s="76"/>
      <c r="Q188" s="76"/>
      <c r="R188" s="77">
        <f t="shared" ref="R188:T189" si="183">+R189</f>
        <v>30000000</v>
      </c>
      <c r="S188" s="77">
        <f t="shared" si="183"/>
        <v>30000000</v>
      </c>
      <c r="T188" s="77">
        <f t="shared" si="183"/>
        <v>0</v>
      </c>
      <c r="U188" s="78"/>
      <c r="V188" s="78"/>
      <c r="W188" s="72"/>
      <c r="X188" s="77">
        <f t="shared" ref="X188:AI189" si="184">+X189</f>
        <v>0</v>
      </c>
      <c r="Y188" s="77">
        <f t="shared" si="184"/>
        <v>0</v>
      </c>
      <c r="Z188" s="77">
        <f t="shared" si="184"/>
        <v>0</v>
      </c>
      <c r="AA188" s="77">
        <f t="shared" si="184"/>
        <v>0</v>
      </c>
      <c r="AB188" s="77">
        <f t="shared" si="184"/>
        <v>0</v>
      </c>
      <c r="AC188" s="77">
        <f t="shared" si="184"/>
        <v>0</v>
      </c>
      <c r="AD188" s="77">
        <f t="shared" si="184"/>
        <v>0</v>
      </c>
      <c r="AE188" s="77">
        <f t="shared" si="184"/>
        <v>0</v>
      </c>
      <c r="AF188" s="77">
        <f t="shared" si="184"/>
        <v>0</v>
      </c>
      <c r="AG188" s="77">
        <f t="shared" si="184"/>
        <v>0</v>
      </c>
      <c r="AH188" s="77">
        <f t="shared" si="184"/>
        <v>0</v>
      </c>
      <c r="AI188" s="77">
        <f t="shared" si="184"/>
        <v>0</v>
      </c>
      <c r="AJ188" s="593">
        <v>0</v>
      </c>
    </row>
    <row r="189" spans="2:36" x14ac:dyDescent="0.2">
      <c r="B189" s="80" t="s">
        <v>105516</v>
      </c>
      <c r="C189" s="80" t="s">
        <v>105573</v>
      </c>
      <c r="D189" s="80" t="s">
        <v>105573</v>
      </c>
      <c r="E189" s="80" t="s">
        <v>105573</v>
      </c>
      <c r="F189" s="80" t="s">
        <v>105556</v>
      </c>
      <c r="G189" s="80" t="s">
        <v>105538</v>
      </c>
      <c r="H189" s="80" t="s">
        <v>105520</v>
      </c>
      <c r="I189" s="80"/>
      <c r="J189" s="416"/>
      <c r="K189" s="80"/>
      <c r="L189" s="436"/>
      <c r="M189" s="82" t="s">
        <v>107182</v>
      </c>
      <c r="N189" s="83"/>
      <c r="O189" s="83"/>
      <c r="P189" s="84"/>
      <c r="Q189" s="84"/>
      <c r="R189" s="85">
        <f t="shared" si="183"/>
        <v>30000000</v>
      </c>
      <c r="S189" s="85">
        <f t="shared" si="183"/>
        <v>30000000</v>
      </c>
      <c r="T189" s="85">
        <f t="shared" si="183"/>
        <v>0</v>
      </c>
      <c r="U189" s="86"/>
      <c r="V189" s="86"/>
      <c r="W189" s="341"/>
      <c r="X189" s="85">
        <f t="shared" si="184"/>
        <v>0</v>
      </c>
      <c r="Y189" s="85">
        <f t="shared" si="184"/>
        <v>0</v>
      </c>
      <c r="Z189" s="85">
        <f t="shared" si="184"/>
        <v>0</v>
      </c>
      <c r="AA189" s="85">
        <f t="shared" si="184"/>
        <v>0</v>
      </c>
      <c r="AB189" s="85">
        <f t="shared" si="184"/>
        <v>0</v>
      </c>
      <c r="AC189" s="85">
        <f t="shared" si="184"/>
        <v>0</v>
      </c>
      <c r="AD189" s="85">
        <f t="shared" si="184"/>
        <v>0</v>
      </c>
      <c r="AE189" s="85">
        <f t="shared" si="184"/>
        <v>0</v>
      </c>
      <c r="AF189" s="85">
        <f t="shared" si="184"/>
        <v>0</v>
      </c>
      <c r="AG189" s="85">
        <f t="shared" si="184"/>
        <v>0</v>
      </c>
      <c r="AH189" s="85">
        <f t="shared" si="184"/>
        <v>0</v>
      </c>
      <c r="AI189" s="85">
        <f t="shared" si="184"/>
        <v>0</v>
      </c>
      <c r="AJ189" s="593">
        <v>0</v>
      </c>
    </row>
    <row r="190" spans="2:36" ht="210" x14ac:dyDescent="0.2">
      <c r="B190" s="88"/>
      <c r="C190" s="89"/>
      <c r="D190" s="89"/>
      <c r="E190" s="89"/>
      <c r="F190" s="89"/>
      <c r="G190" s="89"/>
      <c r="H190" s="89"/>
      <c r="I190" s="89"/>
      <c r="J190" s="89"/>
      <c r="K190" s="96" t="s">
        <v>107179</v>
      </c>
      <c r="L190" s="91" t="s">
        <v>113279</v>
      </c>
      <c r="M190" s="92" t="s">
        <v>113512</v>
      </c>
      <c r="N190" s="440">
        <v>45685</v>
      </c>
      <c r="O190" s="440" t="s">
        <v>113037</v>
      </c>
      <c r="P190" s="447" t="s">
        <v>113004</v>
      </c>
      <c r="Q190" s="448" t="s">
        <v>113113</v>
      </c>
      <c r="R190" s="449">
        <v>30000000</v>
      </c>
      <c r="S190" s="449">
        <v>30000000</v>
      </c>
      <c r="T190" s="449">
        <v>0</v>
      </c>
      <c r="U190" s="451"/>
      <c r="V190" s="97"/>
      <c r="W190" s="96" t="s">
        <v>113019</v>
      </c>
      <c r="X190" s="594"/>
      <c r="Y190" s="594"/>
      <c r="Z190" s="594"/>
      <c r="AA190" s="594"/>
      <c r="AB190" s="594"/>
      <c r="AC190" s="594"/>
      <c r="AD190" s="594"/>
      <c r="AE190" s="594"/>
      <c r="AF190" s="594"/>
      <c r="AG190" s="594"/>
      <c r="AH190" s="594"/>
      <c r="AI190" s="594"/>
      <c r="AJ190" s="593">
        <v>0</v>
      </c>
    </row>
    <row r="191" spans="2:36" ht="45" x14ac:dyDescent="0.2">
      <c r="B191" s="334" t="s">
        <v>105516</v>
      </c>
      <c r="C191" s="334" t="s">
        <v>105573</v>
      </c>
      <c r="D191" s="334" t="s">
        <v>105573</v>
      </c>
      <c r="E191" s="334" t="s">
        <v>105573</v>
      </c>
      <c r="F191" s="334" t="s">
        <v>105556</v>
      </c>
      <c r="G191" s="334" t="s">
        <v>105541</v>
      </c>
      <c r="H191" s="72"/>
      <c r="I191" s="72"/>
      <c r="J191" s="415"/>
      <c r="K191" s="72"/>
      <c r="L191" s="73"/>
      <c r="M191" s="74" t="s">
        <v>107192</v>
      </c>
      <c r="N191" s="75"/>
      <c r="O191" s="75"/>
      <c r="P191" s="76"/>
      <c r="Q191" s="76"/>
      <c r="R191" s="77">
        <f t="shared" ref="R191:T191" si="185">+R192</f>
        <v>246000000</v>
      </c>
      <c r="S191" s="77">
        <f t="shared" si="185"/>
        <v>165000000</v>
      </c>
      <c r="T191" s="77">
        <f t="shared" si="185"/>
        <v>81000000</v>
      </c>
      <c r="U191" s="78"/>
      <c r="V191" s="78"/>
      <c r="W191" s="72"/>
      <c r="X191" s="77">
        <f t="shared" ref="X191:AI191" si="186">+X192</f>
        <v>0</v>
      </c>
      <c r="Y191" s="77">
        <f t="shared" si="186"/>
        <v>0</v>
      </c>
      <c r="Z191" s="77">
        <f t="shared" si="186"/>
        <v>0</v>
      </c>
      <c r="AA191" s="77">
        <f t="shared" si="186"/>
        <v>0</v>
      </c>
      <c r="AB191" s="77">
        <f t="shared" si="186"/>
        <v>0</v>
      </c>
      <c r="AC191" s="77">
        <f t="shared" si="186"/>
        <v>0</v>
      </c>
      <c r="AD191" s="77">
        <f t="shared" si="186"/>
        <v>0</v>
      </c>
      <c r="AE191" s="77">
        <f t="shared" si="186"/>
        <v>0</v>
      </c>
      <c r="AF191" s="77">
        <f t="shared" si="186"/>
        <v>0</v>
      </c>
      <c r="AG191" s="77">
        <f t="shared" si="186"/>
        <v>0</v>
      </c>
      <c r="AH191" s="77">
        <f t="shared" si="186"/>
        <v>0</v>
      </c>
      <c r="AI191" s="77">
        <f t="shared" si="186"/>
        <v>0</v>
      </c>
      <c r="AJ191" s="593">
        <v>0</v>
      </c>
    </row>
    <row r="192" spans="2:36" ht="30" x14ac:dyDescent="0.2">
      <c r="B192" s="80" t="s">
        <v>105516</v>
      </c>
      <c r="C192" s="80" t="s">
        <v>105573</v>
      </c>
      <c r="D192" s="80" t="s">
        <v>105573</v>
      </c>
      <c r="E192" s="80" t="s">
        <v>105573</v>
      </c>
      <c r="F192" s="80" t="s">
        <v>105556</v>
      </c>
      <c r="G192" s="80" t="s">
        <v>105541</v>
      </c>
      <c r="H192" s="80" t="s">
        <v>105520</v>
      </c>
      <c r="I192" s="80"/>
      <c r="J192" s="416"/>
      <c r="K192" s="80"/>
      <c r="L192" s="436"/>
      <c r="M192" s="82" t="s">
        <v>107194</v>
      </c>
      <c r="N192" s="110"/>
      <c r="O192" s="110"/>
      <c r="P192" s="84"/>
      <c r="Q192" s="84"/>
      <c r="R192" s="112">
        <f t="shared" ref="R192:T192" si="187">SUM(R193+R194)</f>
        <v>246000000</v>
      </c>
      <c r="S192" s="112">
        <f t="shared" si="187"/>
        <v>165000000</v>
      </c>
      <c r="T192" s="112">
        <f t="shared" si="187"/>
        <v>81000000</v>
      </c>
      <c r="U192" s="113"/>
      <c r="V192" s="113"/>
      <c r="W192" s="341"/>
      <c r="X192" s="112">
        <f t="shared" ref="X192:Y192" si="188">SUM(X193+X194)</f>
        <v>0</v>
      </c>
      <c r="Y192" s="112">
        <f t="shared" si="188"/>
        <v>0</v>
      </c>
      <c r="Z192" s="112">
        <f t="shared" ref="Z192:AC192" si="189">SUM(Z193+Z194)</f>
        <v>0</v>
      </c>
      <c r="AA192" s="112">
        <f t="shared" si="189"/>
        <v>0</v>
      </c>
      <c r="AB192" s="112">
        <f t="shared" si="189"/>
        <v>0</v>
      </c>
      <c r="AC192" s="112">
        <f t="shared" si="189"/>
        <v>0</v>
      </c>
      <c r="AD192" s="112">
        <f t="shared" ref="AD192:AI192" si="190">SUM(AD193+AD194)</f>
        <v>0</v>
      </c>
      <c r="AE192" s="112">
        <f t="shared" si="190"/>
        <v>0</v>
      </c>
      <c r="AF192" s="112">
        <f t="shared" si="190"/>
        <v>0</v>
      </c>
      <c r="AG192" s="112">
        <f t="shared" si="190"/>
        <v>0</v>
      </c>
      <c r="AH192" s="112">
        <f t="shared" si="190"/>
        <v>0</v>
      </c>
      <c r="AI192" s="112">
        <f t="shared" si="190"/>
        <v>0</v>
      </c>
      <c r="AJ192" s="593">
        <v>0</v>
      </c>
    </row>
    <row r="193" spans="2:36" x14ac:dyDescent="0.2">
      <c r="B193" s="88"/>
      <c r="C193" s="89"/>
      <c r="D193" s="89"/>
      <c r="E193" s="89"/>
      <c r="F193" s="89"/>
      <c r="G193" s="89"/>
      <c r="H193" s="89"/>
      <c r="I193" s="89"/>
      <c r="J193" s="89"/>
      <c r="K193" s="96" t="s">
        <v>107191</v>
      </c>
      <c r="L193" s="91"/>
      <c r="M193" s="102" t="s">
        <v>113121</v>
      </c>
      <c r="N193" s="93">
        <v>45659</v>
      </c>
      <c r="O193" s="93" t="s">
        <v>113060</v>
      </c>
      <c r="P193" s="94" t="s">
        <v>113068</v>
      </c>
      <c r="Q193" s="94"/>
      <c r="R193" s="95">
        <v>231000000</v>
      </c>
      <c r="S193" s="472">
        <v>150000000</v>
      </c>
      <c r="T193" s="472">
        <v>81000000</v>
      </c>
      <c r="U193" s="96"/>
      <c r="V193" s="129"/>
      <c r="W193" s="96" t="s">
        <v>113064</v>
      </c>
      <c r="X193" s="593"/>
      <c r="Y193" s="593"/>
      <c r="Z193" s="593"/>
      <c r="AA193" s="593"/>
      <c r="AB193" s="593"/>
      <c r="AC193" s="593"/>
      <c r="AD193" s="593"/>
      <c r="AE193" s="593"/>
      <c r="AF193" s="593"/>
      <c r="AG193" s="593"/>
      <c r="AH193" s="593"/>
      <c r="AI193" s="593"/>
      <c r="AJ193" s="593">
        <v>0</v>
      </c>
    </row>
    <row r="194" spans="2:36" ht="99.75" customHeight="1" x14ac:dyDescent="0.2">
      <c r="B194" s="88"/>
      <c r="C194" s="89"/>
      <c r="D194" s="89"/>
      <c r="E194" s="89"/>
      <c r="F194" s="89"/>
      <c r="G194" s="89"/>
      <c r="H194" s="89"/>
      <c r="I194" s="89"/>
      <c r="J194" s="89"/>
      <c r="K194" s="96" t="s">
        <v>107191</v>
      </c>
      <c r="L194" s="91" t="s">
        <v>113119</v>
      </c>
      <c r="M194" s="102" t="s">
        <v>113739</v>
      </c>
      <c r="N194" s="93">
        <v>45716</v>
      </c>
      <c r="O194" s="93" t="s">
        <v>113001</v>
      </c>
      <c r="P194" s="94" t="s">
        <v>113004</v>
      </c>
      <c r="Q194" s="94" t="s">
        <v>113052</v>
      </c>
      <c r="R194" s="118">
        <v>15000000</v>
      </c>
      <c r="S194" s="472">
        <v>15000000</v>
      </c>
      <c r="T194" s="472">
        <v>0</v>
      </c>
      <c r="U194" s="96" t="s">
        <v>106081</v>
      </c>
      <c r="V194" s="129"/>
      <c r="W194" s="96" t="s">
        <v>113000</v>
      </c>
      <c r="X194" s="593"/>
      <c r="Y194" s="593"/>
      <c r="Z194" s="593"/>
      <c r="AA194" s="593"/>
      <c r="AB194" s="593"/>
      <c r="AC194" s="593"/>
      <c r="AD194" s="593"/>
      <c r="AE194" s="593"/>
      <c r="AF194" s="593"/>
      <c r="AG194" s="593"/>
      <c r="AH194" s="593"/>
      <c r="AI194" s="593"/>
      <c r="AJ194" s="593">
        <v>0</v>
      </c>
    </row>
    <row r="195" spans="2:36" x14ac:dyDescent="0.2">
      <c r="B195" s="334" t="s">
        <v>105516</v>
      </c>
      <c r="C195" s="334" t="s">
        <v>105573</v>
      </c>
      <c r="D195" s="334" t="s">
        <v>105573</v>
      </c>
      <c r="E195" s="334" t="s">
        <v>105573</v>
      </c>
      <c r="F195" s="334" t="s">
        <v>105556</v>
      </c>
      <c r="G195" s="334" t="s">
        <v>105547</v>
      </c>
      <c r="H195" s="72"/>
      <c r="I195" s="72"/>
      <c r="J195" s="415"/>
      <c r="K195" s="72"/>
      <c r="L195" s="73"/>
      <c r="M195" s="305" t="s">
        <v>113231</v>
      </c>
      <c r="N195" s="75"/>
      <c r="O195" s="75"/>
      <c r="P195" s="76"/>
      <c r="Q195" s="76"/>
      <c r="R195" s="77">
        <f t="shared" ref="R195:T196" si="191">+R196</f>
        <v>50000000</v>
      </c>
      <c r="S195" s="77">
        <f t="shared" si="191"/>
        <v>30000000</v>
      </c>
      <c r="T195" s="77">
        <f t="shared" si="191"/>
        <v>20000000</v>
      </c>
      <c r="U195" s="78"/>
      <c r="V195" s="78"/>
      <c r="W195" s="72"/>
      <c r="X195" s="77">
        <f t="shared" ref="X195:AI196" si="192">+X196</f>
        <v>0</v>
      </c>
      <c r="Y195" s="77">
        <f t="shared" si="192"/>
        <v>0</v>
      </c>
      <c r="Z195" s="77">
        <f t="shared" si="192"/>
        <v>0</v>
      </c>
      <c r="AA195" s="77">
        <f t="shared" si="192"/>
        <v>0</v>
      </c>
      <c r="AB195" s="77">
        <f t="shared" si="192"/>
        <v>0</v>
      </c>
      <c r="AC195" s="77">
        <f t="shared" si="192"/>
        <v>0</v>
      </c>
      <c r="AD195" s="77">
        <f t="shared" si="192"/>
        <v>0</v>
      </c>
      <c r="AE195" s="77">
        <f t="shared" si="192"/>
        <v>0</v>
      </c>
      <c r="AF195" s="77">
        <f t="shared" si="192"/>
        <v>0</v>
      </c>
      <c r="AG195" s="77">
        <f t="shared" si="192"/>
        <v>0</v>
      </c>
      <c r="AH195" s="77">
        <f t="shared" si="192"/>
        <v>0</v>
      </c>
      <c r="AI195" s="77">
        <f t="shared" si="192"/>
        <v>0</v>
      </c>
      <c r="AJ195" s="593">
        <v>0</v>
      </c>
    </row>
    <row r="196" spans="2:36" x14ac:dyDescent="0.2">
      <c r="B196" s="80" t="s">
        <v>105516</v>
      </c>
      <c r="C196" s="80" t="s">
        <v>105573</v>
      </c>
      <c r="D196" s="80" t="s">
        <v>105573</v>
      </c>
      <c r="E196" s="80" t="s">
        <v>105573</v>
      </c>
      <c r="F196" s="80" t="s">
        <v>105556</v>
      </c>
      <c r="G196" s="80" t="s">
        <v>105547</v>
      </c>
      <c r="H196" s="80" t="s">
        <v>106109</v>
      </c>
      <c r="I196" s="80"/>
      <c r="J196" s="416"/>
      <c r="K196" s="80"/>
      <c r="L196" s="436"/>
      <c r="M196" s="82" t="s">
        <v>107228</v>
      </c>
      <c r="N196" s="83"/>
      <c r="O196" s="83"/>
      <c r="P196" s="84"/>
      <c r="Q196" s="84"/>
      <c r="R196" s="85">
        <f t="shared" si="191"/>
        <v>50000000</v>
      </c>
      <c r="S196" s="85">
        <f t="shared" si="191"/>
        <v>30000000</v>
      </c>
      <c r="T196" s="85">
        <f t="shared" si="191"/>
        <v>20000000</v>
      </c>
      <c r="U196" s="86"/>
      <c r="V196" s="86"/>
      <c r="W196" s="341"/>
      <c r="X196" s="85">
        <f t="shared" si="192"/>
        <v>0</v>
      </c>
      <c r="Y196" s="85">
        <f t="shared" si="192"/>
        <v>0</v>
      </c>
      <c r="Z196" s="85">
        <f t="shared" si="192"/>
        <v>0</v>
      </c>
      <c r="AA196" s="85">
        <f t="shared" si="192"/>
        <v>0</v>
      </c>
      <c r="AB196" s="85">
        <f t="shared" si="192"/>
        <v>0</v>
      </c>
      <c r="AC196" s="85">
        <f t="shared" si="192"/>
        <v>0</v>
      </c>
      <c r="AD196" s="85">
        <f t="shared" si="192"/>
        <v>0</v>
      </c>
      <c r="AE196" s="85">
        <f t="shared" si="192"/>
        <v>0</v>
      </c>
      <c r="AF196" s="85">
        <f t="shared" si="192"/>
        <v>0</v>
      </c>
      <c r="AG196" s="85">
        <f t="shared" si="192"/>
        <v>0</v>
      </c>
      <c r="AH196" s="85">
        <f t="shared" si="192"/>
        <v>0</v>
      </c>
      <c r="AI196" s="85">
        <f t="shared" si="192"/>
        <v>0</v>
      </c>
      <c r="AJ196" s="593">
        <v>0</v>
      </c>
    </row>
    <row r="197" spans="2:36" ht="87" customHeight="1" x14ac:dyDescent="0.2">
      <c r="B197" s="88"/>
      <c r="C197" s="89"/>
      <c r="D197" s="89"/>
      <c r="E197" s="89"/>
      <c r="F197" s="89"/>
      <c r="G197" s="89"/>
      <c r="H197" s="89"/>
      <c r="I197" s="89"/>
      <c r="J197" s="89"/>
      <c r="K197" s="96" t="s">
        <v>107213</v>
      </c>
      <c r="L197" s="55">
        <v>93141500</v>
      </c>
      <c r="M197" s="92" t="s">
        <v>113381</v>
      </c>
      <c r="N197" s="93">
        <v>45868</v>
      </c>
      <c r="O197" s="93" t="s">
        <v>113010</v>
      </c>
      <c r="P197" s="94" t="s">
        <v>113007</v>
      </c>
      <c r="Q197" s="94" t="s">
        <v>113095</v>
      </c>
      <c r="R197" s="99">
        <v>50000000</v>
      </c>
      <c r="S197" s="472">
        <v>30000000</v>
      </c>
      <c r="T197" s="472">
        <v>20000000</v>
      </c>
      <c r="U197" s="96"/>
      <c r="V197" s="97"/>
      <c r="W197" s="398" t="s">
        <v>113012</v>
      </c>
      <c r="X197" s="593"/>
      <c r="Y197" s="593"/>
      <c r="Z197" s="593"/>
      <c r="AA197" s="593"/>
      <c r="AB197" s="593"/>
      <c r="AC197" s="593"/>
      <c r="AD197" s="593"/>
      <c r="AE197" s="593"/>
      <c r="AF197" s="593"/>
      <c r="AG197" s="593"/>
      <c r="AH197" s="593"/>
      <c r="AI197" s="593"/>
      <c r="AJ197" s="593">
        <v>0</v>
      </c>
    </row>
    <row r="198" spans="2:36" x14ac:dyDescent="0.2">
      <c r="B198" s="334" t="s">
        <v>105516</v>
      </c>
      <c r="C198" s="334" t="s">
        <v>105573</v>
      </c>
      <c r="D198" s="334" t="s">
        <v>105573</v>
      </c>
      <c r="E198" s="334" t="s">
        <v>105573</v>
      </c>
      <c r="F198" s="334" t="s">
        <v>105559</v>
      </c>
      <c r="G198" s="72"/>
      <c r="H198" s="72"/>
      <c r="I198" s="72"/>
      <c r="J198" s="415"/>
      <c r="K198" s="72"/>
      <c r="L198" s="73"/>
      <c r="M198" s="74" t="s">
        <v>105564</v>
      </c>
      <c r="N198" s="75"/>
      <c r="O198" s="75"/>
      <c r="P198" s="76"/>
      <c r="Q198" s="76"/>
      <c r="R198" s="77">
        <f t="shared" ref="R198:T198" si="193">+R199</f>
        <v>80000000</v>
      </c>
      <c r="S198" s="77">
        <f t="shared" si="193"/>
        <v>40000000</v>
      </c>
      <c r="T198" s="77">
        <f t="shared" si="193"/>
        <v>40000000</v>
      </c>
      <c r="U198" s="78"/>
      <c r="V198" s="78"/>
      <c r="W198" s="72"/>
      <c r="X198" s="77">
        <f t="shared" ref="X198:AI198" si="194">+X199</f>
        <v>0</v>
      </c>
      <c r="Y198" s="77">
        <f t="shared" si="194"/>
        <v>0</v>
      </c>
      <c r="Z198" s="77">
        <f t="shared" si="194"/>
        <v>0</v>
      </c>
      <c r="AA198" s="77">
        <f t="shared" si="194"/>
        <v>0</v>
      </c>
      <c r="AB198" s="77">
        <f t="shared" si="194"/>
        <v>0</v>
      </c>
      <c r="AC198" s="77">
        <f t="shared" si="194"/>
        <v>0</v>
      </c>
      <c r="AD198" s="77">
        <f t="shared" si="194"/>
        <v>0</v>
      </c>
      <c r="AE198" s="77">
        <f t="shared" si="194"/>
        <v>0</v>
      </c>
      <c r="AF198" s="77">
        <f t="shared" si="194"/>
        <v>0</v>
      </c>
      <c r="AG198" s="77">
        <f t="shared" si="194"/>
        <v>0</v>
      </c>
      <c r="AH198" s="77">
        <f t="shared" si="194"/>
        <v>0</v>
      </c>
      <c r="AI198" s="77">
        <f t="shared" si="194"/>
        <v>0</v>
      </c>
      <c r="AJ198" s="593">
        <v>0</v>
      </c>
    </row>
    <row r="199" spans="2:36" ht="18.75" customHeight="1" x14ac:dyDescent="0.2">
      <c r="B199" s="88"/>
      <c r="C199" s="89"/>
      <c r="D199" s="89"/>
      <c r="E199" s="89"/>
      <c r="F199" s="89"/>
      <c r="G199" s="89"/>
      <c r="H199" s="89"/>
      <c r="I199" s="89"/>
      <c r="J199" s="89"/>
      <c r="K199" s="96" t="s">
        <v>107241</v>
      </c>
      <c r="L199" s="55"/>
      <c r="M199" s="102" t="s">
        <v>105564</v>
      </c>
      <c r="N199" s="93" t="s">
        <v>113031</v>
      </c>
      <c r="O199" s="93" t="s">
        <v>113031</v>
      </c>
      <c r="P199" s="94" t="s">
        <v>113031</v>
      </c>
      <c r="Q199" s="94" t="s">
        <v>113031</v>
      </c>
      <c r="R199" s="95">
        <v>80000000</v>
      </c>
      <c r="S199" s="472">
        <v>40000000</v>
      </c>
      <c r="T199" s="563">
        <v>40000000</v>
      </c>
      <c r="U199" s="96"/>
      <c r="V199" s="97"/>
      <c r="W199" s="398" t="s">
        <v>113012</v>
      </c>
      <c r="X199" s="593"/>
      <c r="Y199" s="593"/>
      <c r="Z199" s="593"/>
      <c r="AA199" s="593"/>
      <c r="AB199" s="593"/>
      <c r="AC199" s="593"/>
      <c r="AD199" s="593"/>
      <c r="AE199" s="593"/>
      <c r="AF199" s="593"/>
      <c r="AG199" s="593"/>
      <c r="AH199" s="593"/>
      <c r="AI199" s="593"/>
      <c r="AJ199" s="593">
        <v>0</v>
      </c>
    </row>
    <row r="200" spans="2:36" ht="15.75" x14ac:dyDescent="0.2">
      <c r="B200" s="145" t="s">
        <v>105516</v>
      </c>
      <c r="C200" s="145" t="s">
        <v>105924</v>
      </c>
      <c r="D200" s="145"/>
      <c r="E200" s="145"/>
      <c r="F200" s="145"/>
      <c r="G200" s="145"/>
      <c r="H200" s="145"/>
      <c r="I200" s="145"/>
      <c r="J200" s="419"/>
      <c r="K200" s="145"/>
      <c r="L200" s="146"/>
      <c r="M200" s="147" t="s">
        <v>112080</v>
      </c>
      <c r="N200" s="148"/>
      <c r="O200" s="148"/>
      <c r="P200" s="149"/>
      <c r="Q200" s="149"/>
      <c r="R200" s="150">
        <f>+R201</f>
        <v>16363200000</v>
      </c>
      <c r="S200" s="150">
        <f t="shared" ref="S200" si="195">+S201</f>
        <v>16431000000</v>
      </c>
      <c r="T200" s="150">
        <f>+T201</f>
        <v>496560000</v>
      </c>
      <c r="U200" s="151"/>
      <c r="V200" s="151"/>
      <c r="W200" s="401"/>
      <c r="X200" s="150">
        <f t="shared" ref="X200:AI200" si="196">+X201</f>
        <v>0</v>
      </c>
      <c r="Y200" s="150">
        <f t="shared" si="196"/>
        <v>0</v>
      </c>
      <c r="Z200" s="150">
        <f t="shared" si="196"/>
        <v>0</v>
      </c>
      <c r="AA200" s="150">
        <f t="shared" si="196"/>
        <v>0</v>
      </c>
      <c r="AB200" s="150">
        <f t="shared" si="196"/>
        <v>0</v>
      </c>
      <c r="AC200" s="150">
        <f t="shared" si="196"/>
        <v>0</v>
      </c>
      <c r="AD200" s="150">
        <f t="shared" si="196"/>
        <v>0</v>
      </c>
      <c r="AE200" s="150">
        <f t="shared" si="196"/>
        <v>0</v>
      </c>
      <c r="AF200" s="150">
        <f t="shared" si="196"/>
        <v>0</v>
      </c>
      <c r="AG200" s="150">
        <f t="shared" si="196"/>
        <v>0</v>
      </c>
      <c r="AH200" s="150">
        <f t="shared" si="196"/>
        <v>0</v>
      </c>
      <c r="AI200" s="150">
        <f t="shared" si="196"/>
        <v>0</v>
      </c>
      <c r="AJ200" s="150">
        <f t="shared" ref="AJ200:AJ202" si="197">SUM(X200:AI200)-S200</f>
        <v>-16431000000</v>
      </c>
    </row>
    <row r="201" spans="2:36" ht="15.75" x14ac:dyDescent="0.2">
      <c r="B201" s="153" t="s">
        <v>105516</v>
      </c>
      <c r="C201" s="153" t="s">
        <v>105924</v>
      </c>
      <c r="D201" s="153" t="s">
        <v>105520</v>
      </c>
      <c r="E201" s="153"/>
      <c r="F201" s="153"/>
      <c r="G201" s="153"/>
      <c r="H201" s="153"/>
      <c r="I201" s="153"/>
      <c r="J201" s="420"/>
      <c r="K201" s="402"/>
      <c r="L201" s="155"/>
      <c r="M201" s="156" t="s">
        <v>112080</v>
      </c>
      <c r="N201" s="157"/>
      <c r="O201" s="157"/>
      <c r="P201" s="158"/>
      <c r="Q201" s="158"/>
      <c r="R201" s="159">
        <f>+R202+R229</f>
        <v>16363200000</v>
      </c>
      <c r="S201" s="159">
        <f t="shared" ref="S201" si="198">+S202+S229</f>
        <v>16431000000</v>
      </c>
      <c r="T201" s="159">
        <f>+T202+T229</f>
        <v>496560000</v>
      </c>
      <c r="U201" s="160"/>
      <c r="V201" s="160"/>
      <c r="W201" s="402"/>
      <c r="X201" s="159">
        <f t="shared" ref="X201:Y201" si="199">+X202+X229</f>
        <v>0</v>
      </c>
      <c r="Y201" s="159">
        <f t="shared" si="199"/>
        <v>0</v>
      </c>
      <c r="Z201" s="159">
        <f t="shared" ref="Z201:AC201" si="200">+Z202+Z229</f>
        <v>0</v>
      </c>
      <c r="AA201" s="159">
        <f t="shared" si="200"/>
        <v>0</v>
      </c>
      <c r="AB201" s="159">
        <f t="shared" si="200"/>
        <v>0</v>
      </c>
      <c r="AC201" s="159">
        <f t="shared" si="200"/>
        <v>0</v>
      </c>
      <c r="AD201" s="159">
        <f t="shared" ref="AD201:AI201" si="201">+AD202+AD229</f>
        <v>0</v>
      </c>
      <c r="AE201" s="159">
        <f t="shared" si="201"/>
        <v>0</v>
      </c>
      <c r="AF201" s="159">
        <f t="shared" si="201"/>
        <v>0</v>
      </c>
      <c r="AG201" s="159">
        <f t="shared" si="201"/>
        <v>0</v>
      </c>
      <c r="AH201" s="159">
        <f t="shared" si="201"/>
        <v>0</v>
      </c>
      <c r="AI201" s="159">
        <f t="shared" si="201"/>
        <v>0</v>
      </c>
      <c r="AJ201" s="159">
        <f t="shared" si="197"/>
        <v>-16431000000</v>
      </c>
    </row>
    <row r="202" spans="2:36" ht="15.75" x14ac:dyDescent="0.2">
      <c r="B202" s="162" t="s">
        <v>105516</v>
      </c>
      <c r="C202" s="162" t="s">
        <v>105924</v>
      </c>
      <c r="D202" s="162" t="s">
        <v>105520</v>
      </c>
      <c r="E202" s="162" t="s">
        <v>105520</v>
      </c>
      <c r="F202" s="162"/>
      <c r="G202" s="162"/>
      <c r="H202" s="162"/>
      <c r="I202" s="162"/>
      <c r="J202" s="421"/>
      <c r="K202" s="162"/>
      <c r="L202" s="163"/>
      <c r="M202" s="164" t="s">
        <v>106437</v>
      </c>
      <c r="N202" s="165"/>
      <c r="O202" s="165"/>
      <c r="P202" s="166"/>
      <c r="Q202" s="166"/>
      <c r="R202" s="167">
        <f>+R203+R223</f>
        <v>670000000</v>
      </c>
      <c r="S202" s="167">
        <f t="shared" ref="S202" si="202">+S203+S223</f>
        <v>746000000</v>
      </c>
      <c r="T202" s="167">
        <f>+T203+T223</f>
        <v>0</v>
      </c>
      <c r="U202" s="168"/>
      <c r="V202" s="168"/>
      <c r="W202" s="403"/>
      <c r="X202" s="167">
        <f t="shared" ref="X202:Y202" si="203">+X203+X223</f>
        <v>0</v>
      </c>
      <c r="Y202" s="167">
        <f t="shared" si="203"/>
        <v>0</v>
      </c>
      <c r="Z202" s="167">
        <f t="shared" ref="Z202:AC202" si="204">+Z203+Z223</f>
        <v>0</v>
      </c>
      <c r="AA202" s="167">
        <f t="shared" si="204"/>
        <v>0</v>
      </c>
      <c r="AB202" s="167">
        <f t="shared" si="204"/>
        <v>0</v>
      </c>
      <c r="AC202" s="167">
        <f t="shared" si="204"/>
        <v>0</v>
      </c>
      <c r="AD202" s="167">
        <f t="shared" ref="AD202:AI202" si="205">+AD203+AD223</f>
        <v>0</v>
      </c>
      <c r="AE202" s="167">
        <f t="shared" si="205"/>
        <v>0</v>
      </c>
      <c r="AF202" s="167">
        <f t="shared" si="205"/>
        <v>0</v>
      </c>
      <c r="AG202" s="167">
        <f t="shared" si="205"/>
        <v>0</v>
      </c>
      <c r="AH202" s="167">
        <f t="shared" si="205"/>
        <v>0</v>
      </c>
      <c r="AI202" s="167">
        <f t="shared" si="205"/>
        <v>0</v>
      </c>
      <c r="AJ202" s="167">
        <f t="shared" si="197"/>
        <v>-746000000</v>
      </c>
    </row>
    <row r="203" spans="2:36" ht="30" x14ac:dyDescent="0.2">
      <c r="B203" s="63" t="s">
        <v>105516</v>
      </c>
      <c r="C203" s="63" t="s">
        <v>105924</v>
      </c>
      <c r="D203" s="63" t="s">
        <v>105520</v>
      </c>
      <c r="E203" s="63" t="s">
        <v>105520</v>
      </c>
      <c r="F203" s="63" t="s">
        <v>105538</v>
      </c>
      <c r="G203" s="63"/>
      <c r="H203" s="63"/>
      <c r="I203" s="63"/>
      <c r="J203" s="414"/>
      <c r="K203" s="254"/>
      <c r="L203" s="65"/>
      <c r="M203" s="66" t="s">
        <v>106589</v>
      </c>
      <c r="N203" s="67"/>
      <c r="O203" s="67"/>
      <c r="P203" s="68"/>
      <c r="Q203" s="68"/>
      <c r="R203" s="69">
        <f>+R204+R207+R210+R214+R220</f>
        <v>600000000</v>
      </c>
      <c r="S203" s="69">
        <f t="shared" ref="S203" si="206">+S204+S207+S210+S214+S220</f>
        <v>530000000</v>
      </c>
      <c r="T203" s="69">
        <f>+T204+T207+T210+T214+T220</f>
        <v>0</v>
      </c>
      <c r="U203" s="70"/>
      <c r="V203" s="70"/>
      <c r="W203" s="254"/>
      <c r="X203" s="69">
        <f t="shared" ref="X203:Y203" si="207">+X204+X207+X210+X214+X220</f>
        <v>0</v>
      </c>
      <c r="Y203" s="69">
        <f t="shared" si="207"/>
        <v>0</v>
      </c>
      <c r="Z203" s="69">
        <f t="shared" ref="Z203:AC203" si="208">+Z204+Z207+Z210+Z214+Z220</f>
        <v>0</v>
      </c>
      <c r="AA203" s="69">
        <f t="shared" si="208"/>
        <v>0</v>
      </c>
      <c r="AB203" s="69">
        <f t="shared" si="208"/>
        <v>0</v>
      </c>
      <c r="AC203" s="69">
        <f t="shared" si="208"/>
        <v>0</v>
      </c>
      <c r="AD203" s="69">
        <f t="shared" ref="AD203:AI203" si="209">+AD204+AD207+AD210+AD214+AD220</f>
        <v>0</v>
      </c>
      <c r="AE203" s="69">
        <f t="shared" si="209"/>
        <v>0</v>
      </c>
      <c r="AF203" s="69">
        <f t="shared" si="209"/>
        <v>0</v>
      </c>
      <c r="AG203" s="69">
        <f t="shared" si="209"/>
        <v>0</v>
      </c>
      <c r="AH203" s="69">
        <f t="shared" si="209"/>
        <v>0</v>
      </c>
      <c r="AI203" s="69">
        <f t="shared" si="209"/>
        <v>0</v>
      </c>
      <c r="AJ203" s="593">
        <v>0</v>
      </c>
    </row>
    <row r="204" spans="2:36" ht="30" x14ac:dyDescent="0.2">
      <c r="B204" s="334" t="s">
        <v>105516</v>
      </c>
      <c r="C204" s="334" t="s">
        <v>105924</v>
      </c>
      <c r="D204" s="334" t="s">
        <v>105520</v>
      </c>
      <c r="E204" s="334" t="s">
        <v>105520</v>
      </c>
      <c r="F204" s="334" t="s">
        <v>105538</v>
      </c>
      <c r="G204" s="334" t="s">
        <v>105535</v>
      </c>
      <c r="H204" s="170"/>
      <c r="I204" s="170"/>
      <c r="J204" s="422"/>
      <c r="K204" s="170"/>
      <c r="L204" s="171"/>
      <c r="M204" s="307" t="s">
        <v>113232</v>
      </c>
      <c r="N204" s="173"/>
      <c r="O204" s="173"/>
      <c r="P204" s="174"/>
      <c r="Q204" s="174"/>
      <c r="R204" s="175">
        <f t="shared" ref="R204:S205" si="210">+R205</f>
        <v>15000000</v>
      </c>
      <c r="S204" s="175">
        <f t="shared" si="210"/>
        <v>15000000</v>
      </c>
      <c r="T204" s="175">
        <f>+T205</f>
        <v>0</v>
      </c>
      <c r="U204" s="176"/>
      <c r="V204" s="176"/>
      <c r="W204" s="170"/>
      <c r="X204" s="175">
        <f t="shared" ref="X204:AI205" si="211">+X205</f>
        <v>0</v>
      </c>
      <c r="Y204" s="175">
        <f t="shared" si="211"/>
        <v>0</v>
      </c>
      <c r="Z204" s="175">
        <f t="shared" si="211"/>
        <v>0</v>
      </c>
      <c r="AA204" s="175">
        <f t="shared" si="211"/>
        <v>0</v>
      </c>
      <c r="AB204" s="175">
        <f t="shared" si="211"/>
        <v>0</v>
      </c>
      <c r="AC204" s="175">
        <f t="shared" si="211"/>
        <v>0</v>
      </c>
      <c r="AD204" s="175">
        <f t="shared" si="211"/>
        <v>0</v>
      </c>
      <c r="AE204" s="175">
        <f t="shared" si="211"/>
        <v>0</v>
      </c>
      <c r="AF204" s="175">
        <f t="shared" si="211"/>
        <v>0</v>
      </c>
      <c r="AG204" s="175">
        <f t="shared" si="211"/>
        <v>0</v>
      </c>
      <c r="AH204" s="175">
        <f t="shared" si="211"/>
        <v>0</v>
      </c>
      <c r="AI204" s="175">
        <f t="shared" si="211"/>
        <v>0</v>
      </c>
      <c r="AJ204" s="593">
        <v>0</v>
      </c>
    </row>
    <row r="205" spans="2:36" x14ac:dyDescent="0.2">
      <c r="B205" s="80" t="s">
        <v>105516</v>
      </c>
      <c r="C205" s="80" t="s">
        <v>105924</v>
      </c>
      <c r="D205" s="80" t="s">
        <v>105520</v>
      </c>
      <c r="E205" s="80" t="s">
        <v>105520</v>
      </c>
      <c r="F205" s="81" t="s">
        <v>105538</v>
      </c>
      <c r="G205" s="81" t="s">
        <v>105535</v>
      </c>
      <c r="H205" s="81" t="s">
        <v>105520</v>
      </c>
      <c r="I205" s="80"/>
      <c r="J205" s="416"/>
      <c r="K205" s="80"/>
      <c r="L205" s="436"/>
      <c r="M205" s="82" t="s">
        <v>106595</v>
      </c>
      <c r="N205" s="83"/>
      <c r="O205" s="83"/>
      <c r="P205" s="84"/>
      <c r="Q205" s="84"/>
      <c r="R205" s="85">
        <f t="shared" si="210"/>
        <v>15000000</v>
      </c>
      <c r="S205" s="85">
        <f t="shared" si="210"/>
        <v>15000000</v>
      </c>
      <c r="T205" s="85">
        <f>+T206</f>
        <v>0</v>
      </c>
      <c r="U205" s="86"/>
      <c r="V205" s="86"/>
      <c r="W205" s="341"/>
      <c r="X205" s="85">
        <f t="shared" si="211"/>
        <v>0</v>
      </c>
      <c r="Y205" s="85">
        <f t="shared" si="211"/>
        <v>0</v>
      </c>
      <c r="Z205" s="85">
        <f t="shared" si="211"/>
        <v>0</v>
      </c>
      <c r="AA205" s="85">
        <f t="shared" si="211"/>
        <v>0</v>
      </c>
      <c r="AB205" s="85">
        <f t="shared" si="211"/>
        <v>0</v>
      </c>
      <c r="AC205" s="85">
        <f t="shared" si="211"/>
        <v>0</v>
      </c>
      <c r="AD205" s="85">
        <f t="shared" si="211"/>
        <v>0</v>
      </c>
      <c r="AE205" s="85">
        <f t="shared" si="211"/>
        <v>0</v>
      </c>
      <c r="AF205" s="85">
        <f t="shared" si="211"/>
        <v>0</v>
      </c>
      <c r="AG205" s="85">
        <f t="shared" si="211"/>
        <v>0</v>
      </c>
      <c r="AH205" s="85">
        <f t="shared" si="211"/>
        <v>0</v>
      </c>
      <c r="AI205" s="85">
        <f t="shared" si="211"/>
        <v>0</v>
      </c>
      <c r="AJ205" s="593">
        <v>0</v>
      </c>
    </row>
    <row r="206" spans="2:36" ht="180" x14ac:dyDescent="0.2">
      <c r="B206" s="88"/>
      <c r="C206" s="89"/>
      <c r="D206" s="89"/>
      <c r="E206" s="89"/>
      <c r="F206" s="89"/>
      <c r="G206" s="89"/>
      <c r="H206" s="89"/>
      <c r="I206" s="89"/>
      <c r="J206" s="89"/>
      <c r="K206" s="96" t="s">
        <v>112177</v>
      </c>
      <c r="L206" s="91" t="s">
        <v>113026</v>
      </c>
      <c r="M206" s="92" t="s">
        <v>113522</v>
      </c>
      <c r="N206" s="93">
        <v>45716</v>
      </c>
      <c r="O206" s="93" t="s">
        <v>113001</v>
      </c>
      <c r="P206" s="94" t="s">
        <v>113045</v>
      </c>
      <c r="Q206" s="94" t="s">
        <v>113008</v>
      </c>
      <c r="R206" s="118">
        <v>15000000</v>
      </c>
      <c r="S206" s="571">
        <v>15000000</v>
      </c>
      <c r="T206" s="472">
        <v>0</v>
      </c>
      <c r="U206" s="96" t="s">
        <v>106081</v>
      </c>
      <c r="V206" s="129"/>
      <c r="W206" s="96" t="s">
        <v>113029</v>
      </c>
      <c r="X206" s="600"/>
      <c r="Y206" s="600"/>
      <c r="Z206" s="600"/>
      <c r="AA206" s="600"/>
      <c r="AB206" s="600"/>
      <c r="AC206" s="600"/>
      <c r="AD206" s="600"/>
      <c r="AE206" s="600"/>
      <c r="AF206" s="600"/>
      <c r="AG206" s="600"/>
      <c r="AH206" s="600"/>
      <c r="AI206" s="600"/>
      <c r="AJ206" s="593">
        <v>0</v>
      </c>
    </row>
    <row r="207" spans="2:36" ht="30" x14ac:dyDescent="0.2">
      <c r="B207" s="334" t="s">
        <v>105516</v>
      </c>
      <c r="C207" s="334" t="s">
        <v>105924</v>
      </c>
      <c r="D207" s="334" t="s">
        <v>105520</v>
      </c>
      <c r="E207" s="334" t="s">
        <v>105520</v>
      </c>
      <c r="F207" s="334" t="s">
        <v>105538</v>
      </c>
      <c r="G207" s="334" t="s">
        <v>105538</v>
      </c>
      <c r="H207" s="170"/>
      <c r="I207" s="170"/>
      <c r="J207" s="422"/>
      <c r="K207" s="170"/>
      <c r="L207" s="171"/>
      <c r="M207" s="172" t="s">
        <v>106611</v>
      </c>
      <c r="N207" s="173"/>
      <c r="O207" s="173"/>
      <c r="P207" s="174"/>
      <c r="Q207" s="174"/>
      <c r="R207" s="175">
        <f t="shared" ref="R207:S208" si="212">+R208</f>
        <v>150000000</v>
      </c>
      <c r="S207" s="175">
        <f t="shared" si="212"/>
        <v>150000000</v>
      </c>
      <c r="T207" s="175">
        <f>+T208</f>
        <v>0</v>
      </c>
      <c r="U207" s="176"/>
      <c r="V207" s="176"/>
      <c r="W207" s="170"/>
      <c r="X207" s="175">
        <f t="shared" ref="X207:AI208" si="213">+X208</f>
        <v>0</v>
      </c>
      <c r="Y207" s="175">
        <f t="shared" si="213"/>
        <v>0</v>
      </c>
      <c r="Z207" s="175">
        <f t="shared" si="213"/>
        <v>0</v>
      </c>
      <c r="AA207" s="175">
        <f t="shared" si="213"/>
        <v>0</v>
      </c>
      <c r="AB207" s="175">
        <f t="shared" si="213"/>
        <v>0</v>
      </c>
      <c r="AC207" s="175">
        <f t="shared" si="213"/>
        <v>0</v>
      </c>
      <c r="AD207" s="175">
        <f t="shared" si="213"/>
        <v>0</v>
      </c>
      <c r="AE207" s="175">
        <f t="shared" si="213"/>
        <v>0</v>
      </c>
      <c r="AF207" s="175">
        <f t="shared" si="213"/>
        <v>0</v>
      </c>
      <c r="AG207" s="175">
        <f t="shared" si="213"/>
        <v>0</v>
      </c>
      <c r="AH207" s="175">
        <f t="shared" si="213"/>
        <v>0</v>
      </c>
      <c r="AI207" s="175">
        <f t="shared" si="213"/>
        <v>0</v>
      </c>
      <c r="AJ207" s="593">
        <v>0</v>
      </c>
    </row>
    <row r="208" spans="2:36" ht="60" x14ac:dyDescent="0.2">
      <c r="B208" s="80" t="s">
        <v>105516</v>
      </c>
      <c r="C208" s="80" t="s">
        <v>105924</v>
      </c>
      <c r="D208" s="80" t="s">
        <v>105520</v>
      </c>
      <c r="E208" s="80" t="s">
        <v>105520</v>
      </c>
      <c r="F208" s="81" t="s">
        <v>105538</v>
      </c>
      <c r="G208" s="81" t="s">
        <v>105538</v>
      </c>
      <c r="H208" s="81" t="s">
        <v>105675</v>
      </c>
      <c r="I208" s="80"/>
      <c r="J208" s="416"/>
      <c r="K208" s="80"/>
      <c r="L208" s="436"/>
      <c r="M208" s="82" t="s">
        <v>106617</v>
      </c>
      <c r="N208" s="83"/>
      <c r="O208" s="83"/>
      <c r="P208" s="84"/>
      <c r="Q208" s="84"/>
      <c r="R208" s="85">
        <f t="shared" si="212"/>
        <v>150000000</v>
      </c>
      <c r="S208" s="85">
        <f t="shared" si="212"/>
        <v>150000000</v>
      </c>
      <c r="T208" s="85">
        <f>+T209</f>
        <v>0</v>
      </c>
      <c r="U208" s="86"/>
      <c r="V208" s="86"/>
      <c r="W208" s="341"/>
      <c r="X208" s="85">
        <f t="shared" si="213"/>
        <v>0</v>
      </c>
      <c r="Y208" s="85">
        <f t="shared" si="213"/>
        <v>0</v>
      </c>
      <c r="Z208" s="85">
        <f t="shared" si="213"/>
        <v>0</v>
      </c>
      <c r="AA208" s="85">
        <f t="shared" si="213"/>
        <v>0</v>
      </c>
      <c r="AB208" s="85">
        <f t="shared" si="213"/>
        <v>0</v>
      </c>
      <c r="AC208" s="85">
        <f t="shared" si="213"/>
        <v>0</v>
      </c>
      <c r="AD208" s="85">
        <f t="shared" si="213"/>
        <v>0</v>
      </c>
      <c r="AE208" s="85">
        <f t="shared" si="213"/>
        <v>0</v>
      </c>
      <c r="AF208" s="85">
        <f t="shared" si="213"/>
        <v>0</v>
      </c>
      <c r="AG208" s="85">
        <f t="shared" si="213"/>
        <v>0</v>
      </c>
      <c r="AH208" s="85">
        <f t="shared" si="213"/>
        <v>0</v>
      </c>
      <c r="AI208" s="85">
        <f t="shared" si="213"/>
        <v>0</v>
      </c>
      <c r="AJ208" s="593">
        <v>0</v>
      </c>
    </row>
    <row r="209" spans="2:36" ht="60" x14ac:dyDescent="0.2">
      <c r="B209" s="88"/>
      <c r="C209" s="89"/>
      <c r="D209" s="89"/>
      <c r="E209" s="89"/>
      <c r="F209" s="89"/>
      <c r="G209" s="89"/>
      <c r="H209" s="89"/>
      <c r="I209" s="89"/>
      <c r="J209" s="89"/>
      <c r="K209" s="96" t="s">
        <v>112186</v>
      </c>
      <c r="L209" s="91">
        <v>15101500</v>
      </c>
      <c r="M209" s="102" t="s">
        <v>113124</v>
      </c>
      <c r="N209" s="93">
        <v>45695</v>
      </c>
      <c r="O209" s="93" t="s">
        <v>113037</v>
      </c>
      <c r="P209" s="94" t="s">
        <v>113004</v>
      </c>
      <c r="Q209" s="94" t="s">
        <v>113038</v>
      </c>
      <c r="R209" s="118">
        <v>150000000</v>
      </c>
      <c r="S209" s="571">
        <v>150000000</v>
      </c>
      <c r="T209" s="472">
        <v>0</v>
      </c>
      <c r="U209" s="96" t="s">
        <v>106081</v>
      </c>
      <c r="V209" s="129"/>
      <c r="W209" s="96" t="s">
        <v>113000</v>
      </c>
      <c r="X209" s="600"/>
      <c r="Y209" s="600"/>
      <c r="Z209" s="600"/>
      <c r="AA209" s="600"/>
      <c r="AB209" s="600"/>
      <c r="AC209" s="600"/>
      <c r="AD209" s="600"/>
      <c r="AE209" s="600"/>
      <c r="AF209" s="600"/>
      <c r="AG209" s="600"/>
      <c r="AH209" s="600"/>
      <c r="AI209" s="600"/>
      <c r="AJ209" s="593">
        <v>0</v>
      </c>
    </row>
    <row r="210" spans="2:36" ht="30" x14ac:dyDescent="0.2">
      <c r="B210" s="334" t="s">
        <v>105516</v>
      </c>
      <c r="C210" s="334" t="s">
        <v>105924</v>
      </c>
      <c r="D210" s="334" t="s">
        <v>105520</v>
      </c>
      <c r="E210" s="334" t="s">
        <v>105520</v>
      </c>
      <c r="F210" s="334" t="s">
        <v>105538</v>
      </c>
      <c r="G210" s="352" t="s">
        <v>105544</v>
      </c>
      <c r="H210" s="170"/>
      <c r="I210" s="170"/>
      <c r="J210" s="422"/>
      <c r="K210" s="170"/>
      <c r="L210" s="171"/>
      <c r="M210" s="172" t="s">
        <v>106645</v>
      </c>
      <c r="N210" s="173"/>
      <c r="O210" s="173"/>
      <c r="P210" s="174"/>
      <c r="Q210" s="174"/>
      <c r="R210" s="175">
        <f>+R211</f>
        <v>35000000</v>
      </c>
      <c r="S210" s="175">
        <f t="shared" ref="S210" si="214">+S211</f>
        <v>35000000</v>
      </c>
      <c r="T210" s="175">
        <f>+T211</f>
        <v>0</v>
      </c>
      <c r="U210" s="176"/>
      <c r="V210" s="176"/>
      <c r="W210" s="170"/>
      <c r="X210" s="175">
        <f t="shared" ref="X210:AI210" si="215">+X211</f>
        <v>0</v>
      </c>
      <c r="Y210" s="175">
        <f t="shared" si="215"/>
        <v>0</v>
      </c>
      <c r="Z210" s="175">
        <f t="shared" si="215"/>
        <v>0</v>
      </c>
      <c r="AA210" s="175">
        <f t="shared" si="215"/>
        <v>0</v>
      </c>
      <c r="AB210" s="175">
        <f t="shared" si="215"/>
        <v>0</v>
      </c>
      <c r="AC210" s="175">
        <f t="shared" si="215"/>
        <v>0</v>
      </c>
      <c r="AD210" s="175">
        <f t="shared" si="215"/>
        <v>0</v>
      </c>
      <c r="AE210" s="175">
        <f t="shared" si="215"/>
        <v>0</v>
      </c>
      <c r="AF210" s="175">
        <f t="shared" si="215"/>
        <v>0</v>
      </c>
      <c r="AG210" s="175">
        <f t="shared" si="215"/>
        <v>0</v>
      </c>
      <c r="AH210" s="175">
        <f t="shared" si="215"/>
        <v>0</v>
      </c>
      <c r="AI210" s="175">
        <f t="shared" si="215"/>
        <v>0</v>
      </c>
      <c r="AJ210" s="593">
        <v>0</v>
      </c>
    </row>
    <row r="211" spans="2:36" x14ac:dyDescent="0.2">
      <c r="B211" s="80" t="s">
        <v>105516</v>
      </c>
      <c r="C211" s="80" t="s">
        <v>105924</v>
      </c>
      <c r="D211" s="80" t="s">
        <v>105520</v>
      </c>
      <c r="E211" s="80" t="s">
        <v>105520</v>
      </c>
      <c r="F211" s="80" t="s">
        <v>105538</v>
      </c>
      <c r="G211" s="80" t="s">
        <v>105544</v>
      </c>
      <c r="H211" s="180" t="s">
        <v>105573</v>
      </c>
      <c r="I211" s="80"/>
      <c r="J211" s="416"/>
      <c r="K211" s="80"/>
      <c r="L211" s="436"/>
      <c r="M211" s="109" t="s">
        <v>106649</v>
      </c>
      <c r="N211" s="83"/>
      <c r="O211" s="83"/>
      <c r="P211" s="84"/>
      <c r="Q211" s="84"/>
      <c r="R211" s="85">
        <f>SUM(R212+R213)</f>
        <v>35000000</v>
      </c>
      <c r="S211" s="85">
        <f t="shared" ref="S211" si="216">SUM(S212+S213)</f>
        <v>35000000</v>
      </c>
      <c r="T211" s="85">
        <f>SUM(T212+T213)</f>
        <v>0</v>
      </c>
      <c r="U211" s="86"/>
      <c r="V211" s="86"/>
      <c r="W211" s="341"/>
      <c r="X211" s="85">
        <f t="shared" ref="X211:Y211" si="217">SUM(X212+X213)</f>
        <v>0</v>
      </c>
      <c r="Y211" s="85">
        <f t="shared" si="217"/>
        <v>0</v>
      </c>
      <c r="Z211" s="85">
        <f t="shared" ref="Z211:AC211" si="218">SUM(Z212+Z213)</f>
        <v>0</v>
      </c>
      <c r="AA211" s="85">
        <f t="shared" si="218"/>
        <v>0</v>
      </c>
      <c r="AB211" s="85">
        <f t="shared" si="218"/>
        <v>0</v>
      </c>
      <c r="AC211" s="85">
        <f t="shared" si="218"/>
        <v>0</v>
      </c>
      <c r="AD211" s="85">
        <f t="shared" ref="AD211:AI211" si="219">SUM(AD212+AD213)</f>
        <v>0</v>
      </c>
      <c r="AE211" s="85">
        <f t="shared" si="219"/>
        <v>0</v>
      </c>
      <c r="AF211" s="85">
        <f t="shared" si="219"/>
        <v>0</v>
      </c>
      <c r="AG211" s="85">
        <f t="shared" si="219"/>
        <v>0</v>
      </c>
      <c r="AH211" s="85">
        <f t="shared" si="219"/>
        <v>0</v>
      </c>
      <c r="AI211" s="85">
        <f t="shared" si="219"/>
        <v>0</v>
      </c>
      <c r="AJ211" s="593">
        <v>0</v>
      </c>
    </row>
    <row r="212" spans="2:36" ht="240" x14ac:dyDescent="0.2">
      <c r="B212" s="138"/>
      <c r="C212" s="139"/>
      <c r="D212" s="139"/>
      <c r="E212" s="139"/>
      <c r="F212" s="139"/>
      <c r="G212" s="139"/>
      <c r="H212" s="139"/>
      <c r="I212" s="139"/>
      <c r="J212" s="139"/>
      <c r="K212" s="96" t="s">
        <v>112204</v>
      </c>
      <c r="L212" s="91" t="s">
        <v>113280</v>
      </c>
      <c r="M212" s="452" t="s">
        <v>113714</v>
      </c>
      <c r="N212" s="453">
        <v>45762</v>
      </c>
      <c r="O212" s="441" t="s">
        <v>113087</v>
      </c>
      <c r="P212" s="441" t="s">
        <v>112998</v>
      </c>
      <c r="Q212" s="441" t="s">
        <v>113038</v>
      </c>
      <c r="R212" s="314">
        <v>15000000</v>
      </c>
      <c r="S212" s="571">
        <v>15000000</v>
      </c>
      <c r="T212" s="472">
        <v>0</v>
      </c>
      <c r="U212" s="96"/>
      <c r="V212" s="97"/>
      <c r="W212" s="96" t="s">
        <v>113019</v>
      </c>
      <c r="X212" s="600"/>
      <c r="Y212" s="600"/>
      <c r="Z212" s="600"/>
      <c r="AA212" s="600"/>
      <c r="AB212" s="600"/>
      <c r="AC212" s="600"/>
      <c r="AD212" s="600"/>
      <c r="AE212" s="600"/>
      <c r="AF212" s="600"/>
      <c r="AG212" s="600"/>
      <c r="AH212" s="600"/>
      <c r="AI212" s="600"/>
      <c r="AJ212" s="593">
        <v>0</v>
      </c>
    </row>
    <row r="213" spans="2:36" x14ac:dyDescent="0.2">
      <c r="B213" s="138"/>
      <c r="C213" s="139"/>
      <c r="D213" s="139"/>
      <c r="E213" s="139"/>
      <c r="F213" s="139"/>
      <c r="G213" s="139"/>
      <c r="H213" s="139"/>
      <c r="I213" s="139"/>
      <c r="J213" s="139"/>
      <c r="K213" s="96" t="s">
        <v>112204</v>
      </c>
      <c r="L213" s="91">
        <v>44103100</v>
      </c>
      <c r="M213" s="102" t="s">
        <v>113547</v>
      </c>
      <c r="N213" s="93">
        <v>45716</v>
      </c>
      <c r="O213" s="93" t="s">
        <v>113001</v>
      </c>
      <c r="P213" s="94" t="s">
        <v>113045</v>
      </c>
      <c r="Q213" s="94" t="s">
        <v>113008</v>
      </c>
      <c r="R213" s="118">
        <v>20000000</v>
      </c>
      <c r="S213" s="571">
        <v>20000000</v>
      </c>
      <c r="T213" s="472">
        <v>0</v>
      </c>
      <c r="U213" s="96" t="s">
        <v>106081</v>
      </c>
      <c r="V213" s="97"/>
      <c r="W213" s="96" t="s">
        <v>113029</v>
      </c>
      <c r="X213" s="600"/>
      <c r="Y213" s="600"/>
      <c r="Z213" s="600"/>
      <c r="AA213" s="600"/>
      <c r="AB213" s="600"/>
      <c r="AC213" s="600"/>
      <c r="AD213" s="600"/>
      <c r="AE213" s="600"/>
      <c r="AF213" s="600"/>
      <c r="AG213" s="600"/>
      <c r="AH213" s="600"/>
      <c r="AI213" s="600"/>
      <c r="AJ213" s="593">
        <v>0</v>
      </c>
    </row>
    <row r="214" spans="2:36" x14ac:dyDescent="0.2">
      <c r="B214" s="334" t="s">
        <v>105516</v>
      </c>
      <c r="C214" s="334" t="s">
        <v>105924</v>
      </c>
      <c r="D214" s="334" t="s">
        <v>105520</v>
      </c>
      <c r="E214" s="334" t="s">
        <v>105520</v>
      </c>
      <c r="F214" s="334" t="s">
        <v>105538</v>
      </c>
      <c r="G214" s="352" t="s">
        <v>105547</v>
      </c>
      <c r="H214" s="170"/>
      <c r="I214" s="170"/>
      <c r="J214" s="422"/>
      <c r="K214" s="170"/>
      <c r="L214" s="171"/>
      <c r="M214" s="172" t="s">
        <v>106657</v>
      </c>
      <c r="N214" s="173"/>
      <c r="O214" s="173"/>
      <c r="P214" s="174"/>
      <c r="Q214" s="174"/>
      <c r="R214" s="175">
        <f>+R215+R218</f>
        <v>280000000</v>
      </c>
      <c r="S214" s="175">
        <f t="shared" ref="S214" si="220">+S215+S218</f>
        <v>210000000</v>
      </c>
      <c r="T214" s="175">
        <f>+T215+T218</f>
        <v>0</v>
      </c>
      <c r="U214" s="176"/>
      <c r="V214" s="176"/>
      <c r="W214" s="170"/>
      <c r="X214" s="175">
        <f t="shared" ref="X214:Y214" si="221">+X215+X218</f>
        <v>0</v>
      </c>
      <c r="Y214" s="175">
        <f t="shared" si="221"/>
        <v>0</v>
      </c>
      <c r="Z214" s="175">
        <f t="shared" ref="Z214:AC214" si="222">+Z215+Z218</f>
        <v>0</v>
      </c>
      <c r="AA214" s="175">
        <f t="shared" si="222"/>
        <v>0</v>
      </c>
      <c r="AB214" s="175">
        <f t="shared" si="222"/>
        <v>0</v>
      </c>
      <c r="AC214" s="175">
        <f t="shared" si="222"/>
        <v>0</v>
      </c>
      <c r="AD214" s="175">
        <f t="shared" ref="AD214:AI214" si="223">+AD215+AD218</f>
        <v>0</v>
      </c>
      <c r="AE214" s="175">
        <f t="shared" si="223"/>
        <v>0</v>
      </c>
      <c r="AF214" s="175">
        <f t="shared" si="223"/>
        <v>0</v>
      </c>
      <c r="AG214" s="175">
        <f t="shared" si="223"/>
        <v>0</v>
      </c>
      <c r="AH214" s="175">
        <f t="shared" si="223"/>
        <v>0</v>
      </c>
      <c r="AI214" s="175">
        <f t="shared" si="223"/>
        <v>0</v>
      </c>
      <c r="AJ214" s="593">
        <v>0</v>
      </c>
    </row>
    <row r="215" spans="2:36" x14ac:dyDescent="0.2">
      <c r="B215" s="80" t="s">
        <v>105516</v>
      </c>
      <c r="C215" s="80" t="s">
        <v>105924</v>
      </c>
      <c r="D215" s="80" t="s">
        <v>105520</v>
      </c>
      <c r="E215" s="80" t="s">
        <v>105520</v>
      </c>
      <c r="F215" s="80" t="s">
        <v>105538</v>
      </c>
      <c r="G215" s="180" t="s">
        <v>105547</v>
      </c>
      <c r="H215" s="180" t="s">
        <v>105675</v>
      </c>
      <c r="I215" s="80"/>
      <c r="J215" s="416"/>
      <c r="K215" s="80"/>
      <c r="L215" s="436"/>
      <c r="M215" s="82" t="s">
        <v>106663</v>
      </c>
      <c r="N215" s="83"/>
      <c r="O215" s="83"/>
      <c r="P215" s="84"/>
      <c r="Q215" s="84"/>
      <c r="R215" s="85">
        <f>SUM(R216+R217)</f>
        <v>80000000</v>
      </c>
      <c r="S215" s="85">
        <f t="shared" ref="S215" si="224">SUM(S216+S217)</f>
        <v>130000000</v>
      </c>
      <c r="T215" s="85">
        <f>SUM(T216+T217)</f>
        <v>0</v>
      </c>
      <c r="U215" s="86"/>
      <c r="V215" s="86"/>
      <c r="W215" s="341"/>
      <c r="X215" s="85">
        <f t="shared" ref="X215:Y215" si="225">SUM(X216+X217)</f>
        <v>0</v>
      </c>
      <c r="Y215" s="85">
        <f t="shared" si="225"/>
        <v>0</v>
      </c>
      <c r="Z215" s="85">
        <f t="shared" ref="Z215:AC215" si="226">SUM(Z216+Z217)</f>
        <v>0</v>
      </c>
      <c r="AA215" s="85">
        <f t="shared" si="226"/>
        <v>0</v>
      </c>
      <c r="AB215" s="85">
        <f t="shared" si="226"/>
        <v>0</v>
      </c>
      <c r="AC215" s="85">
        <f t="shared" si="226"/>
        <v>0</v>
      </c>
      <c r="AD215" s="85">
        <f t="shared" ref="AD215:AI215" si="227">SUM(AD216+AD217)</f>
        <v>0</v>
      </c>
      <c r="AE215" s="85">
        <f t="shared" si="227"/>
        <v>0</v>
      </c>
      <c r="AF215" s="85">
        <f t="shared" si="227"/>
        <v>0</v>
      </c>
      <c r="AG215" s="85">
        <f t="shared" si="227"/>
        <v>0</v>
      </c>
      <c r="AH215" s="85">
        <f t="shared" si="227"/>
        <v>0</v>
      </c>
      <c r="AI215" s="85">
        <f t="shared" si="227"/>
        <v>0</v>
      </c>
      <c r="AJ215" s="593">
        <v>0</v>
      </c>
    </row>
    <row r="216" spans="2:36" ht="135" x14ac:dyDescent="0.2">
      <c r="B216" s="88"/>
      <c r="C216" s="89"/>
      <c r="D216" s="89"/>
      <c r="E216" s="89"/>
      <c r="F216" s="89"/>
      <c r="G216" s="89"/>
      <c r="H216" s="89"/>
      <c r="I216" s="89"/>
      <c r="J216" s="89"/>
      <c r="K216" s="96" t="s">
        <v>112210</v>
      </c>
      <c r="L216" s="91" t="s">
        <v>113282</v>
      </c>
      <c r="M216" s="102" t="s">
        <v>113504</v>
      </c>
      <c r="N216" s="93">
        <v>45809</v>
      </c>
      <c r="O216" s="93" t="s">
        <v>112997</v>
      </c>
      <c r="P216" s="94" t="s">
        <v>113007</v>
      </c>
      <c r="Q216" s="94" t="s">
        <v>113008</v>
      </c>
      <c r="R216" s="314">
        <v>0</v>
      </c>
      <c r="S216" s="571">
        <v>50000000</v>
      </c>
      <c r="T216" s="563">
        <v>0</v>
      </c>
      <c r="U216" s="96"/>
      <c r="V216" s="97"/>
      <c r="W216" s="96" t="s">
        <v>113019</v>
      </c>
      <c r="X216" s="600"/>
      <c r="Y216" s="600"/>
      <c r="Z216" s="600"/>
      <c r="AA216" s="600"/>
      <c r="AB216" s="600"/>
      <c r="AC216" s="600"/>
      <c r="AD216" s="600"/>
      <c r="AE216" s="600"/>
      <c r="AF216" s="600"/>
      <c r="AG216" s="600"/>
      <c r="AH216" s="600"/>
      <c r="AI216" s="600"/>
      <c r="AJ216" s="593">
        <v>0</v>
      </c>
    </row>
    <row r="217" spans="2:36" ht="150" x14ac:dyDescent="0.2">
      <c r="B217" s="138"/>
      <c r="C217" s="139"/>
      <c r="D217" s="139"/>
      <c r="E217" s="139"/>
      <c r="F217" s="139"/>
      <c r="G217" s="139"/>
      <c r="H217" s="139"/>
      <c r="I217" s="139"/>
      <c r="J217" s="139"/>
      <c r="K217" s="96" t="s">
        <v>112210</v>
      </c>
      <c r="L217" s="181" t="s">
        <v>113382</v>
      </c>
      <c r="M217" s="102" t="s">
        <v>113711</v>
      </c>
      <c r="N217" s="93">
        <v>45839</v>
      </c>
      <c r="O217" s="93" t="s">
        <v>113010</v>
      </c>
      <c r="P217" s="94" t="s">
        <v>113007</v>
      </c>
      <c r="Q217" s="441" t="s">
        <v>112999</v>
      </c>
      <c r="R217" s="95">
        <v>80000000</v>
      </c>
      <c r="S217" s="571">
        <v>80000000</v>
      </c>
      <c r="T217" s="472">
        <v>0</v>
      </c>
      <c r="U217" s="96"/>
      <c r="V217" s="97"/>
      <c r="W217" s="96" t="s">
        <v>113019</v>
      </c>
      <c r="X217" s="600"/>
      <c r="Y217" s="600"/>
      <c r="Z217" s="600"/>
      <c r="AA217" s="600"/>
      <c r="AB217" s="600"/>
      <c r="AC217" s="600"/>
      <c r="AD217" s="600"/>
      <c r="AE217" s="600"/>
      <c r="AF217" s="600"/>
      <c r="AG217" s="600"/>
      <c r="AH217" s="600"/>
      <c r="AI217" s="600"/>
      <c r="AJ217" s="593">
        <v>0</v>
      </c>
    </row>
    <row r="218" spans="2:36" x14ac:dyDescent="0.2">
      <c r="B218" s="80" t="s">
        <v>105516</v>
      </c>
      <c r="C218" s="80" t="s">
        <v>105924</v>
      </c>
      <c r="D218" s="80" t="s">
        <v>105520</v>
      </c>
      <c r="E218" s="80" t="s">
        <v>105520</v>
      </c>
      <c r="F218" s="80" t="s">
        <v>105538</v>
      </c>
      <c r="G218" s="180" t="s">
        <v>105547</v>
      </c>
      <c r="H218" s="180" t="s">
        <v>106109</v>
      </c>
      <c r="I218" s="80"/>
      <c r="J218" s="416"/>
      <c r="K218" s="80"/>
      <c r="L218" s="436"/>
      <c r="M218" s="109" t="s">
        <v>106667</v>
      </c>
      <c r="N218" s="83"/>
      <c r="O218" s="83"/>
      <c r="P218" s="84"/>
      <c r="Q218" s="84"/>
      <c r="R218" s="85">
        <f>+R219</f>
        <v>200000000</v>
      </c>
      <c r="S218" s="85">
        <f t="shared" ref="S218" si="228">+S219</f>
        <v>80000000</v>
      </c>
      <c r="T218" s="85">
        <f>+T219</f>
        <v>0</v>
      </c>
      <c r="U218" s="86"/>
      <c r="V218" s="86"/>
      <c r="W218" s="341"/>
      <c r="X218" s="85">
        <f t="shared" ref="X218:AI218" si="229">+X219</f>
        <v>0</v>
      </c>
      <c r="Y218" s="85">
        <f t="shared" si="229"/>
        <v>0</v>
      </c>
      <c r="Z218" s="85">
        <f t="shared" si="229"/>
        <v>0</v>
      </c>
      <c r="AA218" s="85">
        <f t="shared" si="229"/>
        <v>0</v>
      </c>
      <c r="AB218" s="85">
        <f t="shared" si="229"/>
        <v>0</v>
      </c>
      <c r="AC218" s="85">
        <f t="shared" si="229"/>
        <v>0</v>
      </c>
      <c r="AD218" s="85">
        <f t="shared" si="229"/>
        <v>0</v>
      </c>
      <c r="AE218" s="85">
        <f t="shared" si="229"/>
        <v>0</v>
      </c>
      <c r="AF218" s="85">
        <f t="shared" si="229"/>
        <v>0</v>
      </c>
      <c r="AG218" s="85">
        <f t="shared" si="229"/>
        <v>0</v>
      </c>
      <c r="AH218" s="85">
        <f t="shared" si="229"/>
        <v>0</v>
      </c>
      <c r="AI218" s="85">
        <f t="shared" si="229"/>
        <v>0</v>
      </c>
      <c r="AJ218" s="593">
        <v>0</v>
      </c>
    </row>
    <row r="219" spans="2:36" ht="90" x14ac:dyDescent="0.2">
      <c r="B219" s="138"/>
      <c r="C219" s="139"/>
      <c r="D219" s="139"/>
      <c r="E219" s="139"/>
      <c r="F219" s="139"/>
      <c r="G219" s="139"/>
      <c r="H219" s="139"/>
      <c r="I219" s="139"/>
      <c r="J219" s="139"/>
      <c r="K219" s="96" t="s">
        <v>112210</v>
      </c>
      <c r="L219" s="127" t="s">
        <v>113513</v>
      </c>
      <c r="M219" s="120" t="s">
        <v>113514</v>
      </c>
      <c r="N219" s="121">
        <v>45849</v>
      </c>
      <c r="O219" s="93" t="s">
        <v>113010</v>
      </c>
      <c r="P219" s="94" t="s">
        <v>112998</v>
      </c>
      <c r="Q219" s="132" t="s">
        <v>113096</v>
      </c>
      <c r="R219" s="314">
        <v>200000000</v>
      </c>
      <c r="S219" s="571">
        <v>80000000</v>
      </c>
      <c r="T219" s="472">
        <v>0</v>
      </c>
      <c r="U219" s="96"/>
      <c r="V219" s="97"/>
      <c r="W219" s="96" t="s">
        <v>113019</v>
      </c>
      <c r="X219" s="600"/>
      <c r="Y219" s="600"/>
      <c r="Z219" s="600"/>
      <c r="AA219" s="600"/>
      <c r="AB219" s="600"/>
      <c r="AC219" s="600"/>
      <c r="AD219" s="600"/>
      <c r="AE219" s="600"/>
      <c r="AF219" s="600"/>
      <c r="AG219" s="600"/>
      <c r="AH219" s="600"/>
      <c r="AI219" s="600"/>
      <c r="AJ219" s="593">
        <v>0</v>
      </c>
    </row>
    <row r="220" spans="2:36" ht="30" x14ac:dyDescent="0.2">
      <c r="B220" s="334" t="s">
        <v>105516</v>
      </c>
      <c r="C220" s="334" t="s">
        <v>105924</v>
      </c>
      <c r="D220" s="334" t="s">
        <v>105520</v>
      </c>
      <c r="E220" s="334" t="s">
        <v>105520</v>
      </c>
      <c r="F220" s="334" t="s">
        <v>105538</v>
      </c>
      <c r="G220" s="334" t="s">
        <v>105550</v>
      </c>
      <c r="H220" s="170"/>
      <c r="I220" s="170"/>
      <c r="J220" s="422"/>
      <c r="K220" s="170"/>
      <c r="L220" s="171"/>
      <c r="M220" s="172" t="s">
        <v>106669</v>
      </c>
      <c r="N220" s="173"/>
      <c r="O220" s="173"/>
      <c r="P220" s="174"/>
      <c r="Q220" s="174"/>
      <c r="R220" s="175">
        <f t="shared" ref="R220:S221" si="230">+R221</f>
        <v>120000000</v>
      </c>
      <c r="S220" s="175">
        <f t="shared" si="230"/>
        <v>120000000</v>
      </c>
      <c r="T220" s="175">
        <f>+T221</f>
        <v>0</v>
      </c>
      <c r="U220" s="176"/>
      <c r="V220" s="176"/>
      <c r="W220" s="170"/>
      <c r="X220" s="175">
        <f t="shared" ref="X220:AI221" si="231">+X221</f>
        <v>0</v>
      </c>
      <c r="Y220" s="175">
        <f t="shared" si="231"/>
        <v>0</v>
      </c>
      <c r="Z220" s="175">
        <f t="shared" si="231"/>
        <v>0</v>
      </c>
      <c r="AA220" s="175">
        <f t="shared" si="231"/>
        <v>0</v>
      </c>
      <c r="AB220" s="175">
        <f t="shared" si="231"/>
        <v>0</v>
      </c>
      <c r="AC220" s="175">
        <f t="shared" si="231"/>
        <v>0</v>
      </c>
      <c r="AD220" s="175">
        <f t="shared" si="231"/>
        <v>0</v>
      </c>
      <c r="AE220" s="175">
        <f t="shared" si="231"/>
        <v>0</v>
      </c>
      <c r="AF220" s="175">
        <f t="shared" si="231"/>
        <v>0</v>
      </c>
      <c r="AG220" s="175">
        <f t="shared" si="231"/>
        <v>0</v>
      </c>
      <c r="AH220" s="175">
        <f t="shared" si="231"/>
        <v>0</v>
      </c>
      <c r="AI220" s="175">
        <f t="shared" si="231"/>
        <v>0</v>
      </c>
      <c r="AJ220" s="593">
        <v>0</v>
      </c>
    </row>
    <row r="221" spans="2:36" x14ac:dyDescent="0.2">
      <c r="B221" s="80" t="s">
        <v>105516</v>
      </c>
      <c r="C221" s="80" t="s">
        <v>105924</v>
      </c>
      <c r="D221" s="80" t="s">
        <v>105520</v>
      </c>
      <c r="E221" s="80" t="s">
        <v>105520</v>
      </c>
      <c r="F221" s="80" t="s">
        <v>105538</v>
      </c>
      <c r="G221" s="80" t="s">
        <v>105550</v>
      </c>
      <c r="H221" s="80" t="s">
        <v>105520</v>
      </c>
      <c r="I221" s="80"/>
      <c r="J221" s="416"/>
      <c r="K221" s="80"/>
      <c r="L221" s="436"/>
      <c r="M221" s="82" t="s">
        <v>106671</v>
      </c>
      <c r="N221" s="83"/>
      <c r="O221" s="83"/>
      <c r="P221" s="84"/>
      <c r="Q221" s="84"/>
      <c r="R221" s="85">
        <f t="shared" si="230"/>
        <v>120000000</v>
      </c>
      <c r="S221" s="85">
        <f t="shared" si="230"/>
        <v>120000000</v>
      </c>
      <c r="T221" s="85">
        <f>+T222</f>
        <v>0</v>
      </c>
      <c r="U221" s="86"/>
      <c r="V221" s="86"/>
      <c r="W221" s="341"/>
      <c r="X221" s="85">
        <f t="shared" si="231"/>
        <v>0</v>
      </c>
      <c r="Y221" s="85">
        <f t="shared" si="231"/>
        <v>0</v>
      </c>
      <c r="Z221" s="85">
        <f t="shared" si="231"/>
        <v>0</v>
      </c>
      <c r="AA221" s="85">
        <f t="shared" si="231"/>
        <v>0</v>
      </c>
      <c r="AB221" s="85">
        <f t="shared" si="231"/>
        <v>0</v>
      </c>
      <c r="AC221" s="85">
        <f t="shared" si="231"/>
        <v>0</v>
      </c>
      <c r="AD221" s="85">
        <f t="shared" si="231"/>
        <v>0</v>
      </c>
      <c r="AE221" s="85">
        <f t="shared" si="231"/>
        <v>0</v>
      </c>
      <c r="AF221" s="85">
        <f t="shared" si="231"/>
        <v>0</v>
      </c>
      <c r="AG221" s="85">
        <f t="shared" si="231"/>
        <v>0</v>
      </c>
      <c r="AH221" s="85">
        <f t="shared" si="231"/>
        <v>0</v>
      </c>
      <c r="AI221" s="85">
        <f t="shared" si="231"/>
        <v>0</v>
      </c>
      <c r="AJ221" s="593">
        <v>0</v>
      </c>
    </row>
    <row r="222" spans="2:36" ht="60" x14ac:dyDescent="0.2">
      <c r="B222" s="88"/>
      <c r="C222" s="89"/>
      <c r="D222" s="89"/>
      <c r="E222" s="89"/>
      <c r="F222" s="89"/>
      <c r="G222" s="89"/>
      <c r="H222" s="89"/>
      <c r="I222" s="89"/>
      <c r="J222" s="89"/>
      <c r="K222" s="96" t="s">
        <v>112216</v>
      </c>
      <c r="L222" s="91">
        <v>30171600</v>
      </c>
      <c r="M222" s="102" t="s">
        <v>113730</v>
      </c>
      <c r="N222" s="93">
        <v>45337</v>
      </c>
      <c r="O222" s="93" t="s">
        <v>113001</v>
      </c>
      <c r="P222" s="94" t="s">
        <v>113004</v>
      </c>
      <c r="Q222" s="94" t="s">
        <v>112999</v>
      </c>
      <c r="R222" s="497">
        <v>120000000</v>
      </c>
      <c r="S222" s="571">
        <v>120000000</v>
      </c>
      <c r="T222" s="472">
        <v>0</v>
      </c>
      <c r="U222" s="96" t="s">
        <v>106081</v>
      </c>
      <c r="V222" s="97"/>
      <c r="W222" s="96" t="s">
        <v>113000</v>
      </c>
      <c r="X222" s="600"/>
      <c r="Y222" s="600"/>
      <c r="Z222" s="600"/>
      <c r="AA222" s="600"/>
      <c r="AB222" s="600"/>
      <c r="AC222" s="600"/>
      <c r="AD222" s="600"/>
      <c r="AE222" s="600"/>
      <c r="AF222" s="600"/>
      <c r="AG222" s="600"/>
      <c r="AH222" s="600"/>
      <c r="AI222" s="600"/>
      <c r="AJ222" s="593">
        <v>0</v>
      </c>
    </row>
    <row r="223" spans="2:36" x14ac:dyDescent="0.2">
      <c r="B223" s="63" t="s">
        <v>105516</v>
      </c>
      <c r="C223" s="63" t="s">
        <v>105924</v>
      </c>
      <c r="D223" s="63" t="s">
        <v>105520</v>
      </c>
      <c r="E223" s="63" t="s">
        <v>105520</v>
      </c>
      <c r="F223" s="182" t="s">
        <v>105541</v>
      </c>
      <c r="G223" s="63"/>
      <c r="H223" s="63"/>
      <c r="I223" s="63"/>
      <c r="J223" s="414"/>
      <c r="K223" s="254"/>
      <c r="L223" s="65"/>
      <c r="M223" s="66" t="s">
        <v>112242</v>
      </c>
      <c r="N223" s="67"/>
      <c r="O223" s="67"/>
      <c r="P223" s="68"/>
      <c r="Q223" s="68"/>
      <c r="R223" s="69">
        <f>+R224+R227</f>
        <v>70000000</v>
      </c>
      <c r="S223" s="69">
        <f t="shared" ref="S223" si="232">+S224+S227</f>
        <v>216000000</v>
      </c>
      <c r="T223" s="69">
        <f>+T224+T227</f>
        <v>0</v>
      </c>
      <c r="U223" s="70"/>
      <c r="V223" s="70"/>
      <c r="W223" s="254"/>
      <c r="X223" s="69">
        <f t="shared" ref="X223:Y223" si="233">+X224+X227</f>
        <v>0</v>
      </c>
      <c r="Y223" s="69">
        <f t="shared" si="233"/>
        <v>0</v>
      </c>
      <c r="Z223" s="69">
        <f t="shared" ref="Z223:AC223" si="234">+Z224+Z227</f>
        <v>0</v>
      </c>
      <c r="AA223" s="69">
        <f t="shared" si="234"/>
        <v>0</v>
      </c>
      <c r="AB223" s="69">
        <f t="shared" si="234"/>
        <v>0</v>
      </c>
      <c r="AC223" s="69">
        <f t="shared" si="234"/>
        <v>0</v>
      </c>
      <c r="AD223" s="69">
        <f t="shared" ref="AD223:AI223" si="235">+AD224+AD227</f>
        <v>0</v>
      </c>
      <c r="AE223" s="69">
        <f t="shared" si="235"/>
        <v>0</v>
      </c>
      <c r="AF223" s="69">
        <f t="shared" si="235"/>
        <v>0</v>
      </c>
      <c r="AG223" s="69">
        <f t="shared" si="235"/>
        <v>0</v>
      </c>
      <c r="AH223" s="69">
        <f t="shared" si="235"/>
        <v>0</v>
      </c>
      <c r="AI223" s="69">
        <f t="shared" si="235"/>
        <v>0</v>
      </c>
      <c r="AJ223" s="593">
        <v>0</v>
      </c>
    </row>
    <row r="224" spans="2:36" ht="30" x14ac:dyDescent="0.2">
      <c r="B224" s="334" t="s">
        <v>105516</v>
      </c>
      <c r="C224" s="334" t="s">
        <v>105924</v>
      </c>
      <c r="D224" s="334" t="s">
        <v>105520</v>
      </c>
      <c r="E224" s="334" t="s">
        <v>105520</v>
      </c>
      <c r="F224" s="334" t="s">
        <v>105541</v>
      </c>
      <c r="G224" s="334" t="s">
        <v>105535</v>
      </c>
      <c r="H224" s="170"/>
      <c r="I224" s="170"/>
      <c r="J224" s="422"/>
      <c r="K224" s="170"/>
      <c r="L224" s="171"/>
      <c r="M224" s="172" t="s">
        <v>106709</v>
      </c>
      <c r="N224" s="173"/>
      <c r="O224" s="173"/>
      <c r="P224" s="174"/>
      <c r="Q224" s="174"/>
      <c r="R224" s="175">
        <f>SUM(R225:R226)</f>
        <v>0</v>
      </c>
      <c r="S224" s="175">
        <f t="shared" ref="S224" si="236">SUM(S225:S226)</f>
        <v>181000000</v>
      </c>
      <c r="T224" s="175">
        <f>SUM(T225:T226)</f>
        <v>0</v>
      </c>
      <c r="U224" s="176"/>
      <c r="V224" s="176"/>
      <c r="W224" s="170"/>
      <c r="X224" s="175">
        <f t="shared" ref="X224:Y224" si="237">SUM(X225:X226)</f>
        <v>0</v>
      </c>
      <c r="Y224" s="175">
        <f t="shared" si="237"/>
        <v>0</v>
      </c>
      <c r="Z224" s="175">
        <f t="shared" ref="Z224:AC224" si="238">SUM(Z225:Z226)</f>
        <v>0</v>
      </c>
      <c r="AA224" s="175">
        <f t="shared" si="238"/>
        <v>0</v>
      </c>
      <c r="AB224" s="175">
        <f t="shared" si="238"/>
        <v>0</v>
      </c>
      <c r="AC224" s="175">
        <f t="shared" si="238"/>
        <v>0</v>
      </c>
      <c r="AD224" s="175">
        <f t="shared" ref="AD224:AI224" si="239">SUM(AD225:AD226)</f>
        <v>0</v>
      </c>
      <c r="AE224" s="175">
        <f t="shared" si="239"/>
        <v>0</v>
      </c>
      <c r="AF224" s="175">
        <f t="shared" si="239"/>
        <v>0</v>
      </c>
      <c r="AG224" s="175">
        <f t="shared" si="239"/>
        <v>0</v>
      </c>
      <c r="AH224" s="175">
        <f t="shared" si="239"/>
        <v>0</v>
      </c>
      <c r="AI224" s="175">
        <f t="shared" si="239"/>
        <v>0</v>
      </c>
      <c r="AJ224" s="593">
        <v>0</v>
      </c>
    </row>
    <row r="225" spans="2:36" ht="45" x14ac:dyDescent="0.2">
      <c r="B225" s="88"/>
      <c r="C225" s="89"/>
      <c r="D225" s="89"/>
      <c r="E225" s="89"/>
      <c r="F225" s="89"/>
      <c r="G225" s="89"/>
      <c r="H225" s="89"/>
      <c r="I225" s="89"/>
      <c r="J225" s="89"/>
      <c r="K225" s="96" t="s">
        <v>112244</v>
      </c>
      <c r="L225" s="181" t="s">
        <v>113383</v>
      </c>
      <c r="M225" s="102" t="s">
        <v>113384</v>
      </c>
      <c r="N225" s="121">
        <v>45819</v>
      </c>
      <c r="O225" s="93" t="s">
        <v>112997</v>
      </c>
      <c r="P225" s="94" t="s">
        <v>112998</v>
      </c>
      <c r="Q225" s="94" t="s">
        <v>112999</v>
      </c>
      <c r="R225" s="314">
        <v>0</v>
      </c>
      <c r="S225" s="472">
        <v>131000000</v>
      </c>
      <c r="T225" s="472"/>
      <c r="U225" s="96"/>
      <c r="V225" s="97"/>
      <c r="W225" s="96" t="s">
        <v>113019</v>
      </c>
      <c r="X225" s="593"/>
      <c r="Y225" s="593"/>
      <c r="Z225" s="593"/>
      <c r="AA225" s="593"/>
      <c r="AB225" s="593"/>
      <c r="AC225" s="593"/>
      <c r="AD225" s="593"/>
      <c r="AE225" s="593"/>
      <c r="AF225" s="593"/>
      <c r="AG225" s="593"/>
      <c r="AH225" s="593"/>
      <c r="AI225" s="593"/>
      <c r="AJ225" s="593">
        <v>0</v>
      </c>
    </row>
    <row r="226" spans="2:36" ht="135" x14ac:dyDescent="0.2">
      <c r="B226" s="88"/>
      <c r="C226" s="89"/>
      <c r="D226" s="89"/>
      <c r="E226" s="89"/>
      <c r="F226" s="89"/>
      <c r="G226" s="89"/>
      <c r="H226" s="89"/>
      <c r="I226" s="89"/>
      <c r="J226" s="89"/>
      <c r="K226" s="96" t="s">
        <v>112244</v>
      </c>
      <c r="L226" s="91" t="s">
        <v>113282</v>
      </c>
      <c r="M226" s="102" t="s">
        <v>113504</v>
      </c>
      <c r="N226" s="93">
        <v>45809</v>
      </c>
      <c r="O226" s="93" t="s">
        <v>112997</v>
      </c>
      <c r="P226" s="94" t="s">
        <v>113007</v>
      </c>
      <c r="Q226" s="94" t="s">
        <v>113008</v>
      </c>
      <c r="R226" s="314">
        <v>0</v>
      </c>
      <c r="S226" s="472">
        <v>50000000</v>
      </c>
      <c r="T226" s="472"/>
      <c r="U226" s="96"/>
      <c r="V226" s="97"/>
      <c r="W226" s="96" t="s">
        <v>113019</v>
      </c>
      <c r="X226" s="593"/>
      <c r="Y226" s="593"/>
      <c r="Z226" s="593"/>
      <c r="AA226" s="593"/>
      <c r="AB226" s="593"/>
      <c r="AC226" s="593"/>
      <c r="AD226" s="593"/>
      <c r="AE226" s="593"/>
      <c r="AF226" s="593"/>
      <c r="AG226" s="593"/>
      <c r="AH226" s="593"/>
      <c r="AI226" s="593"/>
      <c r="AJ226" s="593">
        <v>0</v>
      </c>
    </row>
    <row r="227" spans="2:36" x14ac:dyDescent="0.2">
      <c r="B227" s="334" t="s">
        <v>105516</v>
      </c>
      <c r="C227" s="334" t="s">
        <v>105924</v>
      </c>
      <c r="D227" s="334" t="s">
        <v>105520</v>
      </c>
      <c r="E227" s="334" t="s">
        <v>105520</v>
      </c>
      <c r="F227" s="334" t="s">
        <v>105541</v>
      </c>
      <c r="G227" s="352" t="s">
        <v>105547</v>
      </c>
      <c r="H227" s="170"/>
      <c r="I227" s="170"/>
      <c r="J227" s="422"/>
      <c r="K227" s="170"/>
      <c r="L227" s="171"/>
      <c r="M227" s="307" t="s">
        <v>106270</v>
      </c>
      <c r="N227" s="173"/>
      <c r="O227" s="173"/>
      <c r="P227" s="174"/>
      <c r="Q227" s="174"/>
      <c r="R227" s="175">
        <f>+R228</f>
        <v>70000000</v>
      </c>
      <c r="S227" s="175">
        <f t="shared" ref="S227" si="240">+S228</f>
        <v>35000000</v>
      </c>
      <c r="T227" s="175">
        <f>+T228</f>
        <v>0</v>
      </c>
      <c r="U227" s="176"/>
      <c r="V227" s="176"/>
      <c r="W227" s="170"/>
      <c r="X227" s="175">
        <f t="shared" ref="X227:AI227" si="241">+X228</f>
        <v>0</v>
      </c>
      <c r="Y227" s="175">
        <f t="shared" si="241"/>
        <v>0</v>
      </c>
      <c r="Z227" s="175">
        <f t="shared" si="241"/>
        <v>0</v>
      </c>
      <c r="AA227" s="175">
        <f t="shared" si="241"/>
        <v>0</v>
      </c>
      <c r="AB227" s="175">
        <f t="shared" si="241"/>
        <v>0</v>
      </c>
      <c r="AC227" s="175">
        <f t="shared" si="241"/>
        <v>0</v>
      </c>
      <c r="AD227" s="175">
        <f t="shared" si="241"/>
        <v>0</v>
      </c>
      <c r="AE227" s="175">
        <f t="shared" si="241"/>
        <v>0</v>
      </c>
      <c r="AF227" s="175">
        <f t="shared" si="241"/>
        <v>0</v>
      </c>
      <c r="AG227" s="175">
        <f t="shared" si="241"/>
        <v>0</v>
      </c>
      <c r="AH227" s="175">
        <f t="shared" si="241"/>
        <v>0</v>
      </c>
      <c r="AI227" s="175">
        <f t="shared" si="241"/>
        <v>0</v>
      </c>
      <c r="AJ227" s="593">
        <v>0</v>
      </c>
    </row>
    <row r="228" spans="2:36" ht="45" x14ac:dyDescent="0.2">
      <c r="B228" s="88"/>
      <c r="C228" s="89"/>
      <c r="D228" s="89"/>
      <c r="E228" s="89"/>
      <c r="F228" s="89"/>
      <c r="G228" s="89"/>
      <c r="H228" s="89"/>
      <c r="I228" s="89"/>
      <c r="J228" s="89"/>
      <c r="K228" s="96" t="s">
        <v>112266</v>
      </c>
      <c r="L228" s="181">
        <v>46171619</v>
      </c>
      <c r="M228" s="102" t="s">
        <v>113789</v>
      </c>
      <c r="N228" s="93">
        <v>45731</v>
      </c>
      <c r="O228" s="93" t="s">
        <v>113006</v>
      </c>
      <c r="P228" s="94" t="s">
        <v>113011</v>
      </c>
      <c r="Q228" s="94" t="s">
        <v>112999</v>
      </c>
      <c r="R228" s="95">
        <v>70000000</v>
      </c>
      <c r="S228" s="571">
        <v>35000000</v>
      </c>
      <c r="T228" s="472">
        <v>0</v>
      </c>
      <c r="U228" s="96" t="s">
        <v>106081</v>
      </c>
      <c r="V228" s="97"/>
      <c r="W228" s="96" t="s">
        <v>113000</v>
      </c>
      <c r="X228" s="600"/>
      <c r="Y228" s="600"/>
      <c r="Z228" s="600"/>
      <c r="AA228" s="600"/>
      <c r="AB228" s="600"/>
      <c r="AC228" s="600"/>
      <c r="AD228" s="600"/>
      <c r="AE228" s="600"/>
      <c r="AF228" s="600"/>
      <c r="AG228" s="600"/>
      <c r="AH228" s="600"/>
      <c r="AI228" s="600"/>
      <c r="AJ228" s="593">
        <v>0</v>
      </c>
    </row>
    <row r="229" spans="2:36" ht="15.75" x14ac:dyDescent="0.2">
      <c r="B229" s="162" t="s">
        <v>105516</v>
      </c>
      <c r="C229" s="162" t="s">
        <v>105924</v>
      </c>
      <c r="D229" s="162" t="s">
        <v>105520</v>
      </c>
      <c r="E229" s="162" t="s">
        <v>105573</v>
      </c>
      <c r="F229" s="162"/>
      <c r="G229" s="162"/>
      <c r="H229" s="162"/>
      <c r="I229" s="162"/>
      <c r="J229" s="421"/>
      <c r="K229" s="162"/>
      <c r="L229" s="163">
        <v>30171700</v>
      </c>
      <c r="M229" s="164" t="s">
        <v>106777</v>
      </c>
      <c r="N229" s="165"/>
      <c r="O229" s="165"/>
      <c r="P229" s="166"/>
      <c r="Q229" s="166"/>
      <c r="R229" s="167">
        <f>SUM(R230+R252+R256+R268)</f>
        <v>15693200000</v>
      </c>
      <c r="S229" s="167">
        <f t="shared" ref="S229" si="242">SUM(S230+S252+S256+S268)</f>
        <v>15685000000</v>
      </c>
      <c r="T229" s="167">
        <f>SUM(T230+T252+T256+T268)</f>
        <v>496560000</v>
      </c>
      <c r="U229" s="168"/>
      <c r="V229" s="168"/>
      <c r="W229" s="403"/>
      <c r="X229" s="167">
        <f t="shared" ref="X229:Y229" si="243">SUM(X230+X252+X256+X268)</f>
        <v>0</v>
      </c>
      <c r="Y229" s="167">
        <f t="shared" si="243"/>
        <v>0</v>
      </c>
      <c r="Z229" s="167">
        <f t="shared" ref="Z229:AC229" si="244">SUM(Z230+Z252+Z256+Z268)</f>
        <v>0</v>
      </c>
      <c r="AA229" s="167">
        <f t="shared" si="244"/>
        <v>0</v>
      </c>
      <c r="AB229" s="167">
        <f t="shared" si="244"/>
        <v>0</v>
      </c>
      <c r="AC229" s="167">
        <f t="shared" si="244"/>
        <v>0</v>
      </c>
      <c r="AD229" s="167">
        <f t="shared" ref="AD229:AI229" si="245">SUM(AD230+AD252+AD256+AD268)</f>
        <v>0</v>
      </c>
      <c r="AE229" s="167">
        <f t="shared" si="245"/>
        <v>0</v>
      </c>
      <c r="AF229" s="167">
        <f t="shared" si="245"/>
        <v>0</v>
      </c>
      <c r="AG229" s="167">
        <f t="shared" si="245"/>
        <v>0</v>
      </c>
      <c r="AH229" s="167">
        <f t="shared" si="245"/>
        <v>0</v>
      </c>
      <c r="AI229" s="167">
        <f t="shared" si="245"/>
        <v>0</v>
      </c>
      <c r="AJ229" s="593">
        <v>0</v>
      </c>
    </row>
    <row r="230" spans="2:36" x14ac:dyDescent="0.2">
      <c r="B230" s="63" t="s">
        <v>105516</v>
      </c>
      <c r="C230" s="63" t="s">
        <v>105924</v>
      </c>
      <c r="D230" s="63" t="s">
        <v>105520</v>
      </c>
      <c r="E230" s="63" t="s">
        <v>105573</v>
      </c>
      <c r="F230" s="63" t="s">
        <v>105544</v>
      </c>
      <c r="G230" s="63"/>
      <c r="H230" s="63"/>
      <c r="I230" s="63"/>
      <c r="J230" s="414"/>
      <c r="K230" s="254"/>
      <c r="L230" s="65">
        <v>75153000</v>
      </c>
      <c r="M230" s="66" t="s">
        <v>106779</v>
      </c>
      <c r="N230" s="67"/>
      <c r="O230" s="67"/>
      <c r="P230" s="68"/>
      <c r="Q230" s="68"/>
      <c r="R230" s="69">
        <f>+R231</f>
        <v>8518441000</v>
      </c>
      <c r="S230" s="69">
        <f t="shared" ref="S230" si="246">+S231</f>
        <v>8487241000</v>
      </c>
      <c r="T230" s="69">
        <f>+T231</f>
        <v>496560000</v>
      </c>
      <c r="U230" s="70"/>
      <c r="V230" s="70"/>
      <c r="W230" s="254"/>
      <c r="X230" s="69">
        <f t="shared" ref="X230:AI230" si="247">+X231</f>
        <v>0</v>
      </c>
      <c r="Y230" s="69">
        <f t="shared" si="247"/>
        <v>0</v>
      </c>
      <c r="Z230" s="69">
        <f t="shared" si="247"/>
        <v>0</v>
      </c>
      <c r="AA230" s="69">
        <f t="shared" si="247"/>
        <v>0</v>
      </c>
      <c r="AB230" s="69">
        <f t="shared" si="247"/>
        <v>0</v>
      </c>
      <c r="AC230" s="69">
        <f t="shared" si="247"/>
        <v>0</v>
      </c>
      <c r="AD230" s="69">
        <f t="shared" si="247"/>
        <v>0</v>
      </c>
      <c r="AE230" s="69">
        <f t="shared" si="247"/>
        <v>0</v>
      </c>
      <c r="AF230" s="69">
        <f t="shared" si="247"/>
        <v>0</v>
      </c>
      <c r="AG230" s="69">
        <f t="shared" si="247"/>
        <v>0</v>
      </c>
      <c r="AH230" s="69">
        <f t="shared" si="247"/>
        <v>0</v>
      </c>
      <c r="AI230" s="69">
        <f t="shared" si="247"/>
        <v>0</v>
      </c>
      <c r="AJ230" s="593">
        <v>0</v>
      </c>
    </row>
    <row r="231" spans="2:36" x14ac:dyDescent="0.2">
      <c r="B231" s="334" t="s">
        <v>105516</v>
      </c>
      <c r="C231" s="334" t="s">
        <v>105924</v>
      </c>
      <c r="D231" s="334" t="s">
        <v>105520</v>
      </c>
      <c r="E231" s="334" t="s">
        <v>105573</v>
      </c>
      <c r="F231" s="334" t="s">
        <v>105544</v>
      </c>
      <c r="G231" s="334" t="s">
        <v>105541</v>
      </c>
      <c r="H231" s="170"/>
      <c r="I231" s="170"/>
      <c r="J231" s="422"/>
      <c r="K231" s="170"/>
      <c r="L231" s="171"/>
      <c r="M231" s="183" t="s">
        <v>106781</v>
      </c>
      <c r="N231" s="173"/>
      <c r="O231" s="173"/>
      <c r="P231" s="174"/>
      <c r="Q231" s="174"/>
      <c r="R231" s="175">
        <f>+R232+R240+R246</f>
        <v>8518441000</v>
      </c>
      <c r="S231" s="175">
        <f t="shared" ref="S231" si="248">+S232+S240+S246</f>
        <v>8487241000</v>
      </c>
      <c r="T231" s="175">
        <f>+T232+T240+T246</f>
        <v>496560000</v>
      </c>
      <c r="U231" s="176"/>
      <c r="V231" s="176"/>
      <c r="W231" s="170"/>
      <c r="X231" s="175">
        <f t="shared" ref="X231:Y231" si="249">+X232+X240+X246</f>
        <v>0</v>
      </c>
      <c r="Y231" s="175">
        <f t="shared" si="249"/>
        <v>0</v>
      </c>
      <c r="Z231" s="175">
        <f t="shared" ref="Z231:AC231" si="250">+Z232+Z240+Z246</f>
        <v>0</v>
      </c>
      <c r="AA231" s="175">
        <f t="shared" si="250"/>
        <v>0</v>
      </c>
      <c r="AB231" s="175">
        <f t="shared" si="250"/>
        <v>0</v>
      </c>
      <c r="AC231" s="175">
        <f t="shared" si="250"/>
        <v>0</v>
      </c>
      <c r="AD231" s="175">
        <f t="shared" ref="AD231:AI231" si="251">+AD232+AD240+AD246</f>
        <v>0</v>
      </c>
      <c r="AE231" s="175">
        <f t="shared" si="251"/>
        <v>0</v>
      </c>
      <c r="AF231" s="175">
        <f t="shared" si="251"/>
        <v>0</v>
      </c>
      <c r="AG231" s="175">
        <f t="shared" si="251"/>
        <v>0</v>
      </c>
      <c r="AH231" s="175">
        <f t="shared" si="251"/>
        <v>0</v>
      </c>
      <c r="AI231" s="175">
        <f t="shared" si="251"/>
        <v>0</v>
      </c>
      <c r="AJ231" s="593">
        <v>0</v>
      </c>
    </row>
    <row r="232" spans="2:36" x14ac:dyDescent="0.2">
      <c r="B232" s="80" t="s">
        <v>105516</v>
      </c>
      <c r="C232" s="80" t="s">
        <v>105924</v>
      </c>
      <c r="D232" s="80" t="s">
        <v>105520</v>
      </c>
      <c r="E232" s="80" t="s">
        <v>105573</v>
      </c>
      <c r="F232" s="80" t="s">
        <v>105544</v>
      </c>
      <c r="G232" s="80" t="s">
        <v>105541</v>
      </c>
      <c r="H232" s="80" t="s">
        <v>105924</v>
      </c>
      <c r="I232" s="80"/>
      <c r="J232" s="416"/>
      <c r="K232" s="80"/>
      <c r="L232" s="436"/>
      <c r="M232" s="82" t="s">
        <v>106811</v>
      </c>
      <c r="N232" s="83"/>
      <c r="O232" s="83"/>
      <c r="P232" s="84"/>
      <c r="Q232" s="84"/>
      <c r="R232" s="85">
        <f>SUM(R233:R239)</f>
        <v>6681440000</v>
      </c>
      <c r="S232" s="85">
        <f t="shared" ref="S232" si="252">SUM(S233:S239)</f>
        <v>6584490000</v>
      </c>
      <c r="T232" s="85">
        <f>SUM(T233:T239)</f>
        <v>496560000</v>
      </c>
      <c r="U232" s="86"/>
      <c r="V232" s="86"/>
      <c r="W232" s="341"/>
      <c r="X232" s="85">
        <f t="shared" ref="X232:Y232" si="253">SUM(X233:X239)</f>
        <v>0</v>
      </c>
      <c r="Y232" s="85">
        <f t="shared" si="253"/>
        <v>0</v>
      </c>
      <c r="Z232" s="85">
        <f t="shared" ref="Z232:AC232" si="254">SUM(Z233:Z239)</f>
        <v>0</v>
      </c>
      <c r="AA232" s="85">
        <f t="shared" si="254"/>
        <v>0</v>
      </c>
      <c r="AB232" s="85">
        <f t="shared" si="254"/>
        <v>0</v>
      </c>
      <c r="AC232" s="85">
        <f t="shared" si="254"/>
        <v>0</v>
      </c>
      <c r="AD232" s="85">
        <f t="shared" ref="AD232:AI232" si="255">SUM(AD233:AD239)</f>
        <v>0</v>
      </c>
      <c r="AE232" s="85">
        <f t="shared" si="255"/>
        <v>0</v>
      </c>
      <c r="AF232" s="85">
        <f t="shared" si="255"/>
        <v>0</v>
      </c>
      <c r="AG232" s="85">
        <f t="shared" si="255"/>
        <v>0</v>
      </c>
      <c r="AH232" s="85">
        <f t="shared" si="255"/>
        <v>0</v>
      </c>
      <c r="AI232" s="85">
        <f t="shared" si="255"/>
        <v>0</v>
      </c>
      <c r="AJ232" s="593">
        <v>0</v>
      </c>
    </row>
    <row r="233" spans="2:36" ht="300" x14ac:dyDescent="0.2">
      <c r="B233" s="88"/>
      <c r="C233" s="89"/>
      <c r="D233" s="89"/>
      <c r="E233" s="89"/>
      <c r="F233" s="89"/>
      <c r="G233" s="89"/>
      <c r="H233" s="89"/>
      <c r="I233" s="89"/>
      <c r="J233" s="89"/>
      <c r="K233" s="96" t="s">
        <v>112301</v>
      </c>
      <c r="L233" s="91" t="s">
        <v>113131</v>
      </c>
      <c r="M233" s="92" t="s">
        <v>113530</v>
      </c>
      <c r="N233" s="93">
        <v>45672</v>
      </c>
      <c r="O233" s="93" t="s">
        <v>113060</v>
      </c>
      <c r="P233" s="94" t="s">
        <v>113022</v>
      </c>
      <c r="Q233" s="94" t="s">
        <v>113038</v>
      </c>
      <c r="R233" s="314">
        <v>6000000000</v>
      </c>
      <c r="S233" s="571">
        <f>6000000000-714810000+218250000</f>
        <v>5503440000</v>
      </c>
      <c r="T233" s="472">
        <f>+R233-S233</f>
        <v>496560000</v>
      </c>
      <c r="U233" s="96" t="s">
        <v>106081</v>
      </c>
      <c r="V233" s="129"/>
      <c r="W233" s="96" t="s">
        <v>113000</v>
      </c>
      <c r="X233" s="600"/>
      <c r="Y233" s="600"/>
      <c r="Z233" s="600"/>
      <c r="AA233" s="600"/>
      <c r="AB233" s="600"/>
      <c r="AC233" s="600"/>
      <c r="AD233" s="600"/>
      <c r="AE233" s="600"/>
      <c r="AF233" s="600"/>
      <c r="AG233" s="600"/>
      <c r="AH233" s="600"/>
      <c r="AI233" s="600"/>
      <c r="AJ233" s="593">
        <v>0</v>
      </c>
    </row>
    <row r="234" spans="2:36" ht="60" x14ac:dyDescent="0.2">
      <c r="B234" s="88"/>
      <c r="C234" s="89"/>
      <c r="D234" s="89"/>
      <c r="E234" s="89"/>
      <c r="F234" s="89"/>
      <c r="G234" s="89"/>
      <c r="H234" s="89"/>
      <c r="I234" s="89"/>
      <c r="J234" s="89"/>
      <c r="K234" s="96" t="s">
        <v>112301</v>
      </c>
      <c r="L234" s="91" t="s">
        <v>113133</v>
      </c>
      <c r="M234" s="92" t="s">
        <v>113728</v>
      </c>
      <c r="N234" s="93"/>
      <c r="O234" s="93"/>
      <c r="P234" s="94"/>
      <c r="Q234" s="94"/>
      <c r="R234" s="314">
        <v>318240000</v>
      </c>
      <c r="S234" s="571">
        <v>318240000</v>
      </c>
      <c r="T234" s="472">
        <v>0</v>
      </c>
      <c r="U234" s="96" t="s">
        <v>106081</v>
      </c>
      <c r="V234" s="129"/>
      <c r="W234" s="96" t="s">
        <v>113000</v>
      </c>
      <c r="X234" s="600"/>
      <c r="Y234" s="600"/>
      <c r="Z234" s="600"/>
      <c r="AA234" s="600"/>
      <c r="AB234" s="600"/>
      <c r="AC234" s="600"/>
      <c r="AD234" s="600"/>
      <c r="AE234" s="600"/>
      <c r="AF234" s="600"/>
      <c r="AG234" s="600"/>
      <c r="AH234" s="600"/>
      <c r="AI234" s="600"/>
      <c r="AJ234" s="593">
        <v>0</v>
      </c>
    </row>
    <row r="235" spans="2:36" ht="75" x14ac:dyDescent="0.2">
      <c r="B235" s="88"/>
      <c r="C235" s="89"/>
      <c r="D235" s="89"/>
      <c r="E235" s="89"/>
      <c r="F235" s="89"/>
      <c r="G235" s="89"/>
      <c r="H235" s="89"/>
      <c r="I235" s="89"/>
      <c r="J235" s="89"/>
      <c r="K235" s="96" t="s">
        <v>112301</v>
      </c>
      <c r="L235" s="91" t="s">
        <v>113133</v>
      </c>
      <c r="M235" s="92" t="s">
        <v>113731</v>
      </c>
      <c r="N235" s="93">
        <v>45838</v>
      </c>
      <c r="O235" s="93" t="s">
        <v>112997</v>
      </c>
      <c r="P235" s="94" t="s">
        <v>113007</v>
      </c>
      <c r="Q235" s="94" t="s">
        <v>113069</v>
      </c>
      <c r="R235" s="314">
        <v>0</v>
      </c>
      <c r="S235" s="472">
        <v>159120000</v>
      </c>
      <c r="T235" s="472"/>
      <c r="U235" s="96" t="s">
        <v>105533</v>
      </c>
      <c r="V235" s="95">
        <f>CEILING(((R235/4*8)*1.05),10000)</f>
        <v>0</v>
      </c>
      <c r="W235" s="96" t="s">
        <v>113000</v>
      </c>
      <c r="X235" s="593"/>
      <c r="Y235" s="593"/>
      <c r="Z235" s="593"/>
      <c r="AA235" s="593"/>
      <c r="AB235" s="593"/>
      <c r="AC235" s="593"/>
      <c r="AD235" s="593"/>
      <c r="AE235" s="593"/>
      <c r="AF235" s="593"/>
      <c r="AG235" s="593"/>
      <c r="AH235" s="593"/>
      <c r="AI235" s="593"/>
      <c r="AJ235" s="593">
        <v>0</v>
      </c>
    </row>
    <row r="236" spans="2:36" ht="90" x14ac:dyDescent="0.2">
      <c r="B236" s="88"/>
      <c r="C236" s="89"/>
      <c r="D236" s="89"/>
      <c r="E236" s="89"/>
      <c r="F236" s="89"/>
      <c r="G236" s="89"/>
      <c r="H236" s="89"/>
      <c r="I236" s="89"/>
      <c r="J236" s="89"/>
      <c r="K236" s="96" t="s">
        <v>112301</v>
      </c>
      <c r="L236" s="91">
        <v>72154100</v>
      </c>
      <c r="M236" s="92" t="s">
        <v>113732</v>
      </c>
      <c r="N236" s="93"/>
      <c r="O236" s="93"/>
      <c r="P236" s="94"/>
      <c r="Q236" s="93"/>
      <c r="R236" s="314">
        <v>363200000</v>
      </c>
      <c r="S236" s="571">
        <v>363200000</v>
      </c>
      <c r="T236" s="472">
        <v>0</v>
      </c>
      <c r="U236" s="96" t="s">
        <v>106081</v>
      </c>
      <c r="V236" s="97"/>
      <c r="W236" s="96" t="s">
        <v>113000</v>
      </c>
      <c r="X236" s="600"/>
      <c r="Y236" s="600"/>
      <c r="Z236" s="600"/>
      <c r="AA236" s="600"/>
      <c r="AB236" s="600"/>
      <c r="AC236" s="600"/>
      <c r="AD236" s="600"/>
      <c r="AE236" s="600"/>
      <c r="AF236" s="600"/>
      <c r="AG236" s="600"/>
      <c r="AH236" s="600"/>
      <c r="AI236" s="600"/>
      <c r="AJ236" s="593">
        <v>0</v>
      </c>
    </row>
    <row r="237" spans="2:36" ht="90" x14ac:dyDescent="0.2">
      <c r="B237" s="88"/>
      <c r="C237" s="89"/>
      <c r="D237" s="89"/>
      <c r="E237" s="89"/>
      <c r="F237" s="89"/>
      <c r="G237" s="89"/>
      <c r="H237" s="89"/>
      <c r="I237" s="89"/>
      <c r="J237" s="89"/>
      <c r="K237" s="96" t="s">
        <v>112301</v>
      </c>
      <c r="L237" s="91">
        <v>72154100</v>
      </c>
      <c r="M237" s="92" t="s">
        <v>113733</v>
      </c>
      <c r="N237" s="93">
        <v>45838</v>
      </c>
      <c r="O237" s="93" t="s">
        <v>112997</v>
      </c>
      <c r="P237" s="94" t="s">
        <v>113007</v>
      </c>
      <c r="Q237" s="94" t="s">
        <v>113069</v>
      </c>
      <c r="R237" s="314">
        <v>0</v>
      </c>
      <c r="S237" s="472">
        <v>181600000</v>
      </c>
      <c r="T237" s="472">
        <v>0</v>
      </c>
      <c r="U237" s="96" t="s">
        <v>105533</v>
      </c>
      <c r="V237" s="95">
        <f>CEILING(((R237/4*8)*1.05),10000)</f>
        <v>0</v>
      </c>
      <c r="W237" s="96" t="s">
        <v>113000</v>
      </c>
      <c r="X237" s="593"/>
      <c r="Y237" s="593"/>
      <c r="Z237" s="593"/>
      <c r="AA237" s="593"/>
      <c r="AB237" s="593"/>
      <c r="AC237" s="593"/>
      <c r="AD237" s="593"/>
      <c r="AE237" s="593"/>
      <c r="AF237" s="593"/>
      <c r="AG237" s="593"/>
      <c r="AH237" s="593"/>
      <c r="AI237" s="593"/>
      <c r="AJ237" s="593">
        <v>0</v>
      </c>
    </row>
    <row r="238" spans="2:36" ht="45" x14ac:dyDescent="0.2">
      <c r="B238" s="88"/>
      <c r="C238" s="89"/>
      <c r="D238" s="89"/>
      <c r="E238" s="89"/>
      <c r="F238" s="89"/>
      <c r="G238" s="89"/>
      <c r="H238" s="89"/>
      <c r="I238" s="89"/>
      <c r="J238" s="89"/>
      <c r="K238" s="96" t="s">
        <v>112301</v>
      </c>
      <c r="L238" s="91" t="s">
        <v>113111</v>
      </c>
      <c r="M238" s="92" t="s">
        <v>113112</v>
      </c>
      <c r="N238" s="93">
        <v>45868</v>
      </c>
      <c r="O238" s="93" t="s">
        <v>113010</v>
      </c>
      <c r="P238" s="132" t="s">
        <v>112998</v>
      </c>
      <c r="Q238" s="93" t="s">
        <v>113052</v>
      </c>
      <c r="R238" s="497">
        <v>0</v>
      </c>
      <c r="S238" s="477">
        <v>27090000</v>
      </c>
      <c r="T238" s="477">
        <v>0</v>
      </c>
      <c r="U238" s="96" t="s">
        <v>106081</v>
      </c>
      <c r="V238" s="141"/>
      <c r="W238" s="96" t="s">
        <v>113000</v>
      </c>
      <c r="X238" s="599"/>
      <c r="Y238" s="599"/>
      <c r="Z238" s="599"/>
      <c r="AA238" s="599"/>
      <c r="AB238" s="599"/>
      <c r="AC238" s="599"/>
      <c r="AD238" s="599"/>
      <c r="AE238" s="599"/>
      <c r="AF238" s="599"/>
      <c r="AG238" s="599"/>
      <c r="AH238" s="599"/>
      <c r="AI238" s="599"/>
      <c r="AJ238" s="593">
        <v>0</v>
      </c>
    </row>
    <row r="239" spans="2:36" ht="60" x14ac:dyDescent="0.2">
      <c r="B239" s="88"/>
      <c r="C239" s="89"/>
      <c r="D239" s="89"/>
      <c r="E239" s="89"/>
      <c r="F239" s="89"/>
      <c r="G239" s="89"/>
      <c r="H239" s="89"/>
      <c r="I239" s="89"/>
      <c r="J239" s="89"/>
      <c r="K239" s="96" t="s">
        <v>112301</v>
      </c>
      <c r="L239" s="91">
        <v>72154100</v>
      </c>
      <c r="M239" s="92" t="s">
        <v>113734</v>
      </c>
      <c r="N239" s="93">
        <v>45868</v>
      </c>
      <c r="O239" s="93" t="s">
        <v>113010</v>
      </c>
      <c r="P239" s="132" t="s">
        <v>112998</v>
      </c>
      <c r="Q239" s="93" t="s">
        <v>113052</v>
      </c>
      <c r="R239" s="497">
        <v>0</v>
      </c>
      <c r="S239" s="472">
        <v>31800000</v>
      </c>
      <c r="T239" s="472">
        <v>0</v>
      </c>
      <c r="U239" s="186" t="s">
        <v>106081</v>
      </c>
      <c r="V239" s="184"/>
      <c r="W239" s="96" t="s">
        <v>113000</v>
      </c>
      <c r="X239" s="593"/>
      <c r="Y239" s="593"/>
      <c r="Z239" s="593"/>
      <c r="AA239" s="593"/>
      <c r="AB239" s="593"/>
      <c r="AC239" s="593"/>
      <c r="AD239" s="593"/>
      <c r="AE239" s="593"/>
      <c r="AF239" s="593"/>
      <c r="AG239" s="593"/>
      <c r="AH239" s="593"/>
      <c r="AI239" s="593"/>
      <c r="AJ239" s="593">
        <v>0</v>
      </c>
    </row>
    <row r="240" spans="2:36" x14ac:dyDescent="0.2">
      <c r="B240" s="80" t="s">
        <v>105516</v>
      </c>
      <c r="C240" s="80" t="s">
        <v>105924</v>
      </c>
      <c r="D240" s="80" t="s">
        <v>105520</v>
      </c>
      <c r="E240" s="80" t="s">
        <v>105573</v>
      </c>
      <c r="F240" s="80" t="s">
        <v>105544</v>
      </c>
      <c r="G240" s="80" t="s">
        <v>105541</v>
      </c>
      <c r="H240" s="80" t="s">
        <v>106100</v>
      </c>
      <c r="I240" s="80"/>
      <c r="J240" s="416"/>
      <c r="K240" s="80"/>
      <c r="L240" s="436"/>
      <c r="M240" s="82" t="s">
        <v>106813</v>
      </c>
      <c r="N240" s="83"/>
      <c r="O240" s="83"/>
      <c r="P240" s="84"/>
      <c r="Q240" s="84"/>
      <c r="R240" s="85">
        <f>SUM(R241:R245)</f>
        <v>218340000</v>
      </c>
      <c r="S240" s="85">
        <f t="shared" ref="S240" si="256">SUM(S241:S245)</f>
        <v>218340000</v>
      </c>
      <c r="T240" s="85">
        <f>SUM(T241:T245)</f>
        <v>0</v>
      </c>
      <c r="U240" s="86"/>
      <c r="V240" s="86"/>
      <c r="W240" s="341"/>
      <c r="X240" s="85">
        <f t="shared" ref="X240:Y240" si="257">SUM(X241:X245)</f>
        <v>0</v>
      </c>
      <c r="Y240" s="85">
        <f t="shared" si="257"/>
        <v>0</v>
      </c>
      <c r="Z240" s="85">
        <f t="shared" ref="Z240:AC240" si="258">SUM(Z241:Z245)</f>
        <v>0</v>
      </c>
      <c r="AA240" s="85">
        <f t="shared" si="258"/>
        <v>0</v>
      </c>
      <c r="AB240" s="85">
        <f t="shared" si="258"/>
        <v>0</v>
      </c>
      <c r="AC240" s="85">
        <f t="shared" si="258"/>
        <v>0</v>
      </c>
      <c r="AD240" s="85">
        <f t="shared" ref="AD240:AI240" si="259">SUM(AD241:AD245)</f>
        <v>0</v>
      </c>
      <c r="AE240" s="85">
        <f t="shared" si="259"/>
        <v>0</v>
      </c>
      <c r="AF240" s="85">
        <f t="shared" si="259"/>
        <v>0</v>
      </c>
      <c r="AG240" s="85">
        <f t="shared" si="259"/>
        <v>0</v>
      </c>
      <c r="AH240" s="85">
        <f t="shared" si="259"/>
        <v>0</v>
      </c>
      <c r="AI240" s="85">
        <f t="shared" si="259"/>
        <v>0</v>
      </c>
      <c r="AJ240" s="593">
        <v>0</v>
      </c>
    </row>
    <row r="241" spans="2:36" ht="45" x14ac:dyDescent="0.2">
      <c r="B241" s="88"/>
      <c r="C241" s="89"/>
      <c r="D241" s="89"/>
      <c r="E241" s="89"/>
      <c r="F241" s="89"/>
      <c r="G241" s="89"/>
      <c r="H241" s="89"/>
      <c r="I241" s="89"/>
      <c r="J241" s="89"/>
      <c r="K241" s="96" t="s">
        <v>112301</v>
      </c>
      <c r="L241" s="55">
        <v>72101500</v>
      </c>
      <c r="M241" s="102" t="s">
        <v>113799</v>
      </c>
      <c r="N241" s="93">
        <v>45667</v>
      </c>
      <c r="O241" s="93" t="s">
        <v>113060</v>
      </c>
      <c r="P241" s="94" t="s">
        <v>113011</v>
      </c>
      <c r="Q241" s="94" t="s">
        <v>113053</v>
      </c>
      <c r="R241" s="565">
        <v>31570000</v>
      </c>
      <c r="S241" s="571">
        <v>31570000</v>
      </c>
      <c r="T241" s="472">
        <v>0</v>
      </c>
      <c r="U241" s="96" t="s">
        <v>106081</v>
      </c>
      <c r="V241" s="187"/>
      <c r="W241" s="96" t="s">
        <v>113000</v>
      </c>
      <c r="X241" s="600"/>
      <c r="Y241" s="600"/>
      <c r="Z241" s="600"/>
      <c r="AA241" s="600"/>
      <c r="AB241" s="600"/>
      <c r="AC241" s="600"/>
      <c r="AD241" s="600"/>
      <c r="AE241" s="600"/>
      <c r="AF241" s="600"/>
      <c r="AG241" s="600"/>
      <c r="AH241" s="600"/>
      <c r="AI241" s="600"/>
      <c r="AJ241" s="593">
        <v>0</v>
      </c>
    </row>
    <row r="242" spans="2:36" ht="61.5" customHeight="1" x14ac:dyDescent="0.2">
      <c r="B242" s="88"/>
      <c r="C242" s="89"/>
      <c r="D242" s="89"/>
      <c r="E242" s="89"/>
      <c r="F242" s="89"/>
      <c r="G242" s="89"/>
      <c r="H242" s="89"/>
      <c r="I242" s="89"/>
      <c r="J242" s="89"/>
      <c r="K242" s="96" t="s">
        <v>112301</v>
      </c>
      <c r="L242" s="55">
        <v>72101500</v>
      </c>
      <c r="M242" s="102" t="s">
        <v>113750</v>
      </c>
      <c r="N242" s="93">
        <v>45667</v>
      </c>
      <c r="O242" s="93" t="s">
        <v>113060</v>
      </c>
      <c r="P242" s="94" t="s">
        <v>113011</v>
      </c>
      <c r="Q242" s="94" t="s">
        <v>113053</v>
      </c>
      <c r="R242" s="565">
        <v>35200000</v>
      </c>
      <c r="S242" s="571">
        <v>35200000</v>
      </c>
      <c r="T242" s="472"/>
      <c r="U242" s="96"/>
      <c r="V242" s="187"/>
      <c r="W242" s="96" t="s">
        <v>113000</v>
      </c>
      <c r="X242" s="600"/>
      <c r="Y242" s="600"/>
      <c r="Z242" s="600"/>
      <c r="AA242" s="600"/>
      <c r="AB242" s="600"/>
      <c r="AC242" s="600"/>
      <c r="AD242" s="600"/>
      <c r="AE242" s="600"/>
      <c r="AF242" s="600"/>
      <c r="AG242" s="600"/>
      <c r="AH242" s="600"/>
      <c r="AI242" s="600"/>
      <c r="AJ242" s="593">
        <v>0</v>
      </c>
    </row>
    <row r="243" spans="2:36" ht="59.25" customHeight="1" x14ac:dyDescent="0.2">
      <c r="B243" s="88"/>
      <c r="C243" s="89"/>
      <c r="D243" s="89"/>
      <c r="E243" s="89"/>
      <c r="F243" s="89"/>
      <c r="G243" s="89"/>
      <c r="H243" s="89"/>
      <c r="I243" s="89"/>
      <c r="J243" s="89"/>
      <c r="K243" s="96" t="s">
        <v>112301</v>
      </c>
      <c r="L243" s="91">
        <v>72151500</v>
      </c>
      <c r="M243" s="92" t="s">
        <v>113800</v>
      </c>
      <c r="N243" s="93">
        <v>45667</v>
      </c>
      <c r="O243" s="93" t="s">
        <v>113060</v>
      </c>
      <c r="P243" s="94" t="s">
        <v>113011</v>
      </c>
      <c r="Q243" s="94" t="s">
        <v>113053</v>
      </c>
      <c r="R243" s="565">
        <v>31570000</v>
      </c>
      <c r="S243" s="571">
        <v>31570000</v>
      </c>
      <c r="T243" s="472">
        <v>0</v>
      </c>
      <c r="U243" s="96" t="s">
        <v>106081</v>
      </c>
      <c r="V243" s="187"/>
      <c r="W243" s="96" t="s">
        <v>113000</v>
      </c>
      <c r="X243" s="600"/>
      <c r="Y243" s="600"/>
      <c r="Z243" s="600"/>
      <c r="AA243" s="600"/>
      <c r="AB243" s="600"/>
      <c r="AC243" s="600"/>
      <c r="AD243" s="600"/>
      <c r="AE243" s="600"/>
      <c r="AF243" s="600"/>
      <c r="AG243" s="600"/>
      <c r="AH243" s="600"/>
      <c r="AI243" s="600"/>
      <c r="AJ243" s="593">
        <v>0</v>
      </c>
    </row>
    <row r="244" spans="2:36" ht="60" x14ac:dyDescent="0.2">
      <c r="B244" s="88"/>
      <c r="C244" s="89"/>
      <c r="D244" s="89"/>
      <c r="E244" s="89"/>
      <c r="F244" s="89"/>
      <c r="G244" s="89"/>
      <c r="H244" s="89"/>
      <c r="I244" s="89"/>
      <c r="J244" s="89"/>
      <c r="K244" s="96" t="s">
        <v>112301</v>
      </c>
      <c r="L244" s="91" t="s">
        <v>113137</v>
      </c>
      <c r="M244" s="102" t="s">
        <v>113790</v>
      </c>
      <c r="N244" s="93">
        <v>45705</v>
      </c>
      <c r="O244" s="93" t="s">
        <v>113001</v>
      </c>
      <c r="P244" s="94" t="s">
        <v>113022</v>
      </c>
      <c r="Q244" s="94" t="s">
        <v>113096</v>
      </c>
      <c r="R244" s="314">
        <v>120000000</v>
      </c>
      <c r="S244" s="571">
        <v>120000000</v>
      </c>
      <c r="T244" s="472">
        <v>0</v>
      </c>
      <c r="U244" s="96"/>
      <c r="V244" s="187"/>
      <c r="W244" s="96" t="s">
        <v>113003</v>
      </c>
      <c r="X244" s="600"/>
      <c r="Y244" s="600"/>
      <c r="Z244" s="600"/>
      <c r="AA244" s="600"/>
      <c r="AB244" s="600"/>
      <c r="AC244" s="600"/>
      <c r="AD244" s="600"/>
      <c r="AE244" s="600"/>
      <c r="AF244" s="600"/>
      <c r="AG244" s="600"/>
      <c r="AH244" s="600"/>
      <c r="AI244" s="600"/>
      <c r="AJ244" s="593">
        <v>0</v>
      </c>
    </row>
    <row r="245" spans="2:36" ht="45" x14ac:dyDescent="0.2">
      <c r="B245" s="88"/>
      <c r="C245" s="89"/>
      <c r="D245" s="89"/>
      <c r="E245" s="89"/>
      <c r="F245" s="89"/>
      <c r="G245" s="89"/>
      <c r="H245" s="89"/>
      <c r="I245" s="89"/>
      <c r="J245" s="89"/>
      <c r="K245" s="96" t="s">
        <v>112301</v>
      </c>
      <c r="L245" s="91" t="s">
        <v>113390</v>
      </c>
      <c r="M245" s="92" t="s">
        <v>113735</v>
      </c>
      <c r="N245" s="93">
        <v>45552</v>
      </c>
      <c r="O245" s="93" t="s">
        <v>113078</v>
      </c>
      <c r="P245" s="94" t="s">
        <v>113079</v>
      </c>
      <c r="Q245" s="94" t="s">
        <v>113052</v>
      </c>
      <c r="R245" s="95"/>
      <c r="S245" s="571"/>
      <c r="T245" s="472">
        <v>0</v>
      </c>
      <c r="U245" s="96"/>
      <c r="V245" s="187"/>
      <c r="W245" s="96"/>
      <c r="X245" s="600"/>
      <c r="Y245" s="600"/>
      <c r="Z245" s="600"/>
      <c r="AA245" s="600"/>
      <c r="AB245" s="600"/>
      <c r="AC245" s="600"/>
      <c r="AD245" s="600"/>
      <c r="AE245" s="600"/>
      <c r="AF245" s="600"/>
      <c r="AG245" s="600"/>
      <c r="AH245" s="600"/>
      <c r="AI245" s="600"/>
      <c r="AJ245" s="593">
        <v>0</v>
      </c>
    </row>
    <row r="246" spans="2:36" x14ac:dyDescent="0.2">
      <c r="B246" s="80" t="s">
        <v>105516</v>
      </c>
      <c r="C246" s="80" t="s">
        <v>105924</v>
      </c>
      <c r="D246" s="80" t="s">
        <v>105520</v>
      </c>
      <c r="E246" s="80" t="s">
        <v>105573</v>
      </c>
      <c r="F246" s="80" t="s">
        <v>105544</v>
      </c>
      <c r="G246" s="80" t="s">
        <v>105541</v>
      </c>
      <c r="H246" s="80" t="s">
        <v>106103</v>
      </c>
      <c r="I246" s="80"/>
      <c r="J246" s="416"/>
      <c r="K246" s="80"/>
      <c r="L246" s="436"/>
      <c r="M246" s="82" t="s">
        <v>106815</v>
      </c>
      <c r="N246" s="83"/>
      <c r="O246" s="83"/>
      <c r="P246" s="84"/>
      <c r="Q246" s="84"/>
      <c r="R246" s="85">
        <f>SUM(R247:R251)</f>
        <v>1618661000</v>
      </c>
      <c r="S246" s="85">
        <f t="shared" ref="S246" si="260">SUM(S247:S251)</f>
        <v>1684411000</v>
      </c>
      <c r="T246" s="85">
        <f>SUM(T247:T251)</f>
        <v>0</v>
      </c>
      <c r="U246" s="86"/>
      <c r="V246" s="86"/>
      <c r="W246" s="341"/>
      <c r="X246" s="85">
        <f t="shared" ref="X246:Y246" si="261">SUM(X247:X251)</f>
        <v>0</v>
      </c>
      <c r="Y246" s="85">
        <f t="shared" si="261"/>
        <v>0</v>
      </c>
      <c r="Z246" s="85">
        <f t="shared" ref="Z246:AC246" si="262">SUM(Z247:Z251)</f>
        <v>0</v>
      </c>
      <c r="AA246" s="85">
        <f t="shared" si="262"/>
        <v>0</v>
      </c>
      <c r="AB246" s="85">
        <f t="shared" si="262"/>
        <v>0</v>
      </c>
      <c r="AC246" s="85">
        <f t="shared" si="262"/>
        <v>0</v>
      </c>
      <c r="AD246" s="85">
        <f t="shared" ref="AD246:AI246" si="263">SUM(AD247:AD251)</f>
        <v>0</v>
      </c>
      <c r="AE246" s="85">
        <f t="shared" si="263"/>
        <v>0</v>
      </c>
      <c r="AF246" s="85">
        <f t="shared" si="263"/>
        <v>0</v>
      </c>
      <c r="AG246" s="85">
        <f t="shared" si="263"/>
        <v>0</v>
      </c>
      <c r="AH246" s="85">
        <f t="shared" si="263"/>
        <v>0</v>
      </c>
      <c r="AI246" s="85">
        <f t="shared" si="263"/>
        <v>0</v>
      </c>
      <c r="AJ246" s="593">
        <v>0</v>
      </c>
    </row>
    <row r="247" spans="2:36" ht="60" x14ac:dyDescent="0.2">
      <c r="B247" s="88"/>
      <c r="C247" s="89"/>
      <c r="D247" s="89"/>
      <c r="E247" s="89"/>
      <c r="F247" s="89"/>
      <c r="G247" s="89"/>
      <c r="H247" s="89"/>
      <c r="I247" s="89"/>
      <c r="J247" s="89"/>
      <c r="K247" s="96" t="s">
        <v>112301</v>
      </c>
      <c r="L247" s="55">
        <v>72101500</v>
      </c>
      <c r="M247" s="102" t="s">
        <v>113736</v>
      </c>
      <c r="N247" s="93">
        <v>45667</v>
      </c>
      <c r="O247" s="93" t="s">
        <v>113060</v>
      </c>
      <c r="P247" s="94" t="s">
        <v>113011</v>
      </c>
      <c r="Q247" s="94" t="s">
        <v>113053</v>
      </c>
      <c r="R247" s="314">
        <v>291500000</v>
      </c>
      <c r="S247" s="571">
        <v>291500000</v>
      </c>
      <c r="T247" s="472">
        <v>0</v>
      </c>
      <c r="U247" s="96" t="s">
        <v>106081</v>
      </c>
      <c r="V247" s="187"/>
      <c r="W247" s="96" t="s">
        <v>113000</v>
      </c>
      <c r="X247" s="600"/>
      <c r="Y247" s="600"/>
      <c r="Z247" s="600"/>
      <c r="AA247" s="600"/>
      <c r="AB247" s="600"/>
      <c r="AC247" s="600"/>
      <c r="AD247" s="600"/>
      <c r="AE247" s="600"/>
      <c r="AF247" s="600"/>
      <c r="AG247" s="600"/>
      <c r="AH247" s="600"/>
      <c r="AI247" s="600"/>
      <c r="AJ247" s="593">
        <v>0</v>
      </c>
    </row>
    <row r="248" spans="2:36" ht="45" x14ac:dyDescent="0.2">
      <c r="B248" s="88"/>
      <c r="C248" s="89"/>
      <c r="D248" s="89"/>
      <c r="E248" s="89"/>
      <c r="F248" s="89"/>
      <c r="G248" s="89"/>
      <c r="H248" s="89"/>
      <c r="I248" s="89"/>
      <c r="J248" s="89"/>
      <c r="K248" s="96" t="s">
        <v>112301</v>
      </c>
      <c r="L248" s="55">
        <v>72101500</v>
      </c>
      <c r="M248" s="102" t="s">
        <v>113698</v>
      </c>
      <c r="N248" s="93">
        <v>45667</v>
      </c>
      <c r="O248" s="93" t="s">
        <v>113060</v>
      </c>
      <c r="P248" s="94" t="s">
        <v>113011</v>
      </c>
      <c r="Q248" s="94" t="s">
        <v>113053</v>
      </c>
      <c r="R248" s="314">
        <v>91080000</v>
      </c>
      <c r="S248" s="571">
        <v>91080000</v>
      </c>
      <c r="T248" s="472">
        <v>0</v>
      </c>
      <c r="U248" s="96" t="s">
        <v>106081</v>
      </c>
      <c r="V248" s="187"/>
      <c r="W248" s="96" t="s">
        <v>113000</v>
      </c>
      <c r="X248" s="600"/>
      <c r="Y248" s="600"/>
      <c r="Z248" s="600"/>
      <c r="AA248" s="600"/>
      <c r="AB248" s="600"/>
      <c r="AC248" s="600"/>
      <c r="AD248" s="600"/>
      <c r="AE248" s="600"/>
      <c r="AF248" s="600"/>
      <c r="AG248" s="600"/>
      <c r="AH248" s="600"/>
      <c r="AI248" s="600"/>
      <c r="AJ248" s="593">
        <v>0</v>
      </c>
    </row>
    <row r="249" spans="2:36" ht="45" x14ac:dyDescent="0.2">
      <c r="B249" s="88"/>
      <c r="C249" s="89"/>
      <c r="D249" s="89"/>
      <c r="E249" s="89"/>
      <c r="F249" s="89"/>
      <c r="G249" s="89"/>
      <c r="H249" s="89"/>
      <c r="I249" s="89"/>
      <c r="J249" s="89"/>
      <c r="K249" s="96" t="s">
        <v>112301</v>
      </c>
      <c r="L249" s="91">
        <v>72101500</v>
      </c>
      <c r="M249" s="102" t="s">
        <v>113699</v>
      </c>
      <c r="N249" s="93">
        <v>45667</v>
      </c>
      <c r="O249" s="93" t="s">
        <v>113060</v>
      </c>
      <c r="P249" s="94" t="s">
        <v>113011</v>
      </c>
      <c r="Q249" s="94" t="s">
        <v>113053</v>
      </c>
      <c r="R249" s="314">
        <f>1080000000+77181000</f>
        <v>1157181000</v>
      </c>
      <c r="S249" s="571">
        <v>1157181000</v>
      </c>
      <c r="T249" s="563">
        <v>0</v>
      </c>
      <c r="U249" s="96" t="s">
        <v>106081</v>
      </c>
      <c r="V249" s="187"/>
      <c r="W249" s="96" t="s">
        <v>113000</v>
      </c>
      <c r="X249" s="600"/>
      <c r="Y249" s="600"/>
      <c r="Z249" s="600"/>
      <c r="AA249" s="600"/>
      <c r="AB249" s="600"/>
      <c r="AC249" s="600"/>
      <c r="AD249" s="600"/>
      <c r="AE249" s="600"/>
      <c r="AF249" s="600"/>
      <c r="AG249" s="600"/>
      <c r="AH249" s="600"/>
      <c r="AI249" s="600"/>
      <c r="AJ249" s="593">
        <v>0</v>
      </c>
    </row>
    <row r="250" spans="2:36" ht="45" x14ac:dyDescent="0.2">
      <c r="B250" s="88"/>
      <c r="C250" s="89"/>
      <c r="D250" s="89"/>
      <c r="E250" s="89"/>
      <c r="F250" s="89"/>
      <c r="G250" s="89"/>
      <c r="H250" s="89"/>
      <c r="I250" s="89"/>
      <c r="J250" s="89"/>
      <c r="K250" s="96" t="s">
        <v>112301</v>
      </c>
      <c r="L250" s="91">
        <v>72101500</v>
      </c>
      <c r="M250" s="102" t="s">
        <v>113700</v>
      </c>
      <c r="N250" s="93">
        <v>45703</v>
      </c>
      <c r="O250" s="93" t="s">
        <v>113037</v>
      </c>
      <c r="P250" s="94" t="s">
        <v>113002</v>
      </c>
      <c r="Q250" s="94" t="s">
        <v>113053</v>
      </c>
      <c r="R250" s="565">
        <v>22500000</v>
      </c>
      <c r="S250" s="571">
        <v>41250000</v>
      </c>
      <c r="T250" s="472"/>
      <c r="U250" s="96" t="s">
        <v>106081</v>
      </c>
      <c r="V250" s="187"/>
      <c r="W250" s="96" t="s">
        <v>113000</v>
      </c>
      <c r="X250" s="600"/>
      <c r="Y250" s="600"/>
      <c r="Z250" s="600"/>
      <c r="AA250" s="600"/>
      <c r="AB250" s="600"/>
      <c r="AC250" s="600"/>
      <c r="AD250" s="600"/>
      <c r="AE250" s="600"/>
      <c r="AF250" s="600"/>
      <c r="AG250" s="600"/>
      <c r="AH250" s="600"/>
      <c r="AI250" s="600"/>
      <c r="AJ250" s="593">
        <v>0</v>
      </c>
    </row>
    <row r="251" spans="2:36" ht="45" x14ac:dyDescent="0.2">
      <c r="B251" s="88"/>
      <c r="C251" s="89"/>
      <c r="D251" s="89"/>
      <c r="E251" s="89"/>
      <c r="F251" s="89"/>
      <c r="G251" s="89"/>
      <c r="H251" s="89"/>
      <c r="I251" s="89"/>
      <c r="J251" s="89"/>
      <c r="K251" s="96" t="s">
        <v>112301</v>
      </c>
      <c r="L251" s="91">
        <v>72101500</v>
      </c>
      <c r="M251" s="92" t="s">
        <v>113701</v>
      </c>
      <c r="N251" s="93">
        <v>45703</v>
      </c>
      <c r="O251" s="93" t="s">
        <v>113037</v>
      </c>
      <c r="P251" s="94" t="s">
        <v>113002</v>
      </c>
      <c r="Q251" s="94" t="s">
        <v>113053</v>
      </c>
      <c r="R251" s="565">
        <v>56400000</v>
      </c>
      <c r="S251" s="571">
        <v>103400000</v>
      </c>
      <c r="T251" s="472"/>
      <c r="U251" s="96" t="s">
        <v>106081</v>
      </c>
      <c r="V251" s="187"/>
      <c r="W251" s="96" t="s">
        <v>113000</v>
      </c>
      <c r="X251" s="600"/>
      <c r="Y251" s="600"/>
      <c r="Z251" s="600"/>
      <c r="AA251" s="600"/>
      <c r="AB251" s="600"/>
      <c r="AC251" s="600"/>
      <c r="AD251" s="600"/>
      <c r="AE251" s="600"/>
      <c r="AF251" s="600"/>
      <c r="AG251" s="600"/>
      <c r="AH251" s="600"/>
      <c r="AI251" s="600"/>
      <c r="AJ251" s="593">
        <v>0</v>
      </c>
    </row>
    <row r="252" spans="2:36" ht="45" x14ac:dyDescent="0.2">
      <c r="B252" s="188" t="s">
        <v>105516</v>
      </c>
      <c r="C252" s="188" t="s">
        <v>105924</v>
      </c>
      <c r="D252" s="188" t="s">
        <v>105520</v>
      </c>
      <c r="E252" s="188" t="s">
        <v>105573</v>
      </c>
      <c r="F252" s="188" t="s">
        <v>105547</v>
      </c>
      <c r="G252" s="188"/>
      <c r="H252" s="188"/>
      <c r="I252" s="188"/>
      <c r="J252" s="423"/>
      <c r="K252" s="308"/>
      <c r="L252" s="65"/>
      <c r="M252" s="306" t="s">
        <v>113221</v>
      </c>
      <c r="N252" s="67"/>
      <c r="O252" s="190"/>
      <c r="P252" s="68"/>
      <c r="Q252" s="68"/>
      <c r="R252" s="69">
        <f t="shared" ref="R252:S254" si="264">+R253</f>
        <v>23320000</v>
      </c>
      <c r="S252" s="69">
        <f t="shared" si="264"/>
        <v>23320000</v>
      </c>
      <c r="T252" s="69">
        <f>+T253</f>
        <v>0</v>
      </c>
      <c r="U252" s="70"/>
      <c r="V252" s="70"/>
      <c r="W252" s="254"/>
      <c r="X252" s="69">
        <f t="shared" ref="X252:AI254" si="265">+X253</f>
        <v>0</v>
      </c>
      <c r="Y252" s="69">
        <f t="shared" si="265"/>
        <v>0</v>
      </c>
      <c r="Z252" s="69">
        <f t="shared" si="265"/>
        <v>0</v>
      </c>
      <c r="AA252" s="69">
        <f t="shared" si="265"/>
        <v>0</v>
      </c>
      <c r="AB252" s="69">
        <f t="shared" si="265"/>
        <v>0</v>
      </c>
      <c r="AC252" s="69">
        <f t="shared" si="265"/>
        <v>0</v>
      </c>
      <c r="AD252" s="69">
        <f t="shared" si="265"/>
        <v>0</v>
      </c>
      <c r="AE252" s="69">
        <f t="shared" si="265"/>
        <v>0</v>
      </c>
      <c r="AF252" s="69">
        <f t="shared" si="265"/>
        <v>0</v>
      </c>
      <c r="AG252" s="69">
        <f t="shared" si="265"/>
        <v>0</v>
      </c>
      <c r="AH252" s="69">
        <f t="shared" si="265"/>
        <v>0</v>
      </c>
      <c r="AI252" s="69">
        <f t="shared" si="265"/>
        <v>0</v>
      </c>
      <c r="AJ252" s="593">
        <v>0</v>
      </c>
    </row>
    <row r="253" spans="2:36" x14ac:dyDescent="0.2">
      <c r="B253" s="342" t="s">
        <v>105516</v>
      </c>
      <c r="C253" s="342" t="s">
        <v>105924</v>
      </c>
      <c r="D253" s="342" t="s">
        <v>105520</v>
      </c>
      <c r="E253" s="342" t="s">
        <v>105573</v>
      </c>
      <c r="F253" s="342" t="s">
        <v>105547</v>
      </c>
      <c r="G253" s="342" t="s">
        <v>105550</v>
      </c>
      <c r="H253" s="191"/>
      <c r="I253" s="191"/>
      <c r="J253" s="424"/>
      <c r="K253" s="191"/>
      <c r="L253" s="171"/>
      <c r="M253" s="172" t="s">
        <v>106841</v>
      </c>
      <c r="N253" s="173"/>
      <c r="O253" s="173"/>
      <c r="P253" s="174"/>
      <c r="Q253" s="174"/>
      <c r="R253" s="175">
        <f t="shared" si="264"/>
        <v>23320000</v>
      </c>
      <c r="S253" s="175">
        <f t="shared" si="264"/>
        <v>23320000</v>
      </c>
      <c r="T253" s="175">
        <f>+T254</f>
        <v>0</v>
      </c>
      <c r="U253" s="176"/>
      <c r="V253" s="176"/>
      <c r="W253" s="170"/>
      <c r="X253" s="175">
        <f t="shared" si="265"/>
        <v>0</v>
      </c>
      <c r="Y253" s="175">
        <f t="shared" si="265"/>
        <v>0</v>
      </c>
      <c r="Z253" s="175">
        <f t="shared" si="265"/>
        <v>0</v>
      </c>
      <c r="AA253" s="175">
        <f t="shared" si="265"/>
        <v>0</v>
      </c>
      <c r="AB253" s="175">
        <f t="shared" si="265"/>
        <v>0</v>
      </c>
      <c r="AC253" s="175">
        <f t="shared" si="265"/>
        <v>0</v>
      </c>
      <c r="AD253" s="175">
        <f t="shared" si="265"/>
        <v>0</v>
      </c>
      <c r="AE253" s="175">
        <f t="shared" si="265"/>
        <v>0</v>
      </c>
      <c r="AF253" s="175">
        <f t="shared" si="265"/>
        <v>0</v>
      </c>
      <c r="AG253" s="175">
        <f t="shared" si="265"/>
        <v>0</v>
      </c>
      <c r="AH253" s="175">
        <f t="shared" si="265"/>
        <v>0</v>
      </c>
      <c r="AI253" s="175">
        <f t="shared" si="265"/>
        <v>0</v>
      </c>
      <c r="AJ253" s="593">
        <v>0</v>
      </c>
    </row>
    <row r="254" spans="2:36" x14ac:dyDescent="0.2">
      <c r="B254" s="81" t="s">
        <v>105516</v>
      </c>
      <c r="C254" s="81" t="s">
        <v>105924</v>
      </c>
      <c r="D254" s="81" t="s">
        <v>105520</v>
      </c>
      <c r="E254" s="81" t="s">
        <v>105573</v>
      </c>
      <c r="F254" s="81" t="s">
        <v>105547</v>
      </c>
      <c r="G254" s="81" t="s">
        <v>105550</v>
      </c>
      <c r="H254" s="81" t="s">
        <v>105520</v>
      </c>
      <c r="I254" s="81"/>
      <c r="J254" s="425"/>
      <c r="K254" s="81"/>
      <c r="L254" s="436"/>
      <c r="M254" s="82" t="s">
        <v>106843</v>
      </c>
      <c r="N254" s="83"/>
      <c r="O254" s="83"/>
      <c r="P254" s="84"/>
      <c r="Q254" s="84"/>
      <c r="R254" s="85">
        <f t="shared" si="264"/>
        <v>23320000</v>
      </c>
      <c r="S254" s="85">
        <f t="shared" si="264"/>
        <v>23320000</v>
      </c>
      <c r="T254" s="85">
        <f>+T255</f>
        <v>0</v>
      </c>
      <c r="U254" s="86"/>
      <c r="V254" s="86"/>
      <c r="W254" s="80"/>
      <c r="X254" s="85">
        <f t="shared" si="265"/>
        <v>0</v>
      </c>
      <c r="Y254" s="85">
        <f t="shared" si="265"/>
        <v>0</v>
      </c>
      <c r="Z254" s="85">
        <f t="shared" si="265"/>
        <v>0</v>
      </c>
      <c r="AA254" s="85">
        <f t="shared" si="265"/>
        <v>0</v>
      </c>
      <c r="AB254" s="85">
        <f t="shared" si="265"/>
        <v>0</v>
      </c>
      <c r="AC254" s="85">
        <f t="shared" si="265"/>
        <v>0</v>
      </c>
      <c r="AD254" s="85">
        <f t="shared" si="265"/>
        <v>0</v>
      </c>
      <c r="AE254" s="85">
        <f t="shared" si="265"/>
        <v>0</v>
      </c>
      <c r="AF254" s="85">
        <f t="shared" si="265"/>
        <v>0</v>
      </c>
      <c r="AG254" s="85">
        <f t="shared" si="265"/>
        <v>0</v>
      </c>
      <c r="AH254" s="85">
        <f t="shared" si="265"/>
        <v>0</v>
      </c>
      <c r="AI254" s="85">
        <f t="shared" si="265"/>
        <v>0</v>
      </c>
      <c r="AJ254" s="593">
        <v>0</v>
      </c>
    </row>
    <row r="255" spans="2:36" ht="30" x14ac:dyDescent="0.2">
      <c r="B255" s="88"/>
      <c r="C255" s="89"/>
      <c r="D255" s="89"/>
      <c r="E255" s="89"/>
      <c r="F255" s="89"/>
      <c r="G255" s="89"/>
      <c r="H255" s="89"/>
      <c r="I255" s="89"/>
      <c r="J255" s="89"/>
      <c r="K255" s="96" t="s">
        <v>112476</v>
      </c>
      <c r="L255" s="55">
        <v>78121600</v>
      </c>
      <c r="M255" s="102" t="s">
        <v>113141</v>
      </c>
      <c r="N255" s="93">
        <v>45667</v>
      </c>
      <c r="O255" s="93" t="s">
        <v>113060</v>
      </c>
      <c r="P255" s="94" t="s">
        <v>113011</v>
      </c>
      <c r="Q255" s="94" t="s">
        <v>113053</v>
      </c>
      <c r="R255" s="95">
        <v>23320000</v>
      </c>
      <c r="S255" s="571">
        <v>23320000</v>
      </c>
      <c r="T255" s="472">
        <v>0</v>
      </c>
      <c r="U255" s="133"/>
      <c r="V255" s="193"/>
      <c r="W255" s="96" t="s">
        <v>113536</v>
      </c>
      <c r="X255" s="600"/>
      <c r="Y255" s="600"/>
      <c r="Z255" s="600"/>
      <c r="AA255" s="600"/>
      <c r="AB255" s="600"/>
      <c r="AC255" s="600"/>
      <c r="AD255" s="600"/>
      <c r="AE255" s="600"/>
      <c r="AF255" s="600"/>
      <c r="AG255" s="600"/>
      <c r="AH255" s="600"/>
      <c r="AI255" s="600"/>
      <c r="AJ255" s="593">
        <v>0</v>
      </c>
    </row>
    <row r="256" spans="2:36" ht="30" x14ac:dyDescent="0.2">
      <c r="B256" s="63" t="s">
        <v>105516</v>
      </c>
      <c r="C256" s="63" t="s">
        <v>105924</v>
      </c>
      <c r="D256" s="63" t="s">
        <v>105520</v>
      </c>
      <c r="E256" s="63" t="s">
        <v>105573</v>
      </c>
      <c r="F256" s="63" t="s">
        <v>105550</v>
      </c>
      <c r="G256" s="63"/>
      <c r="H256" s="63"/>
      <c r="I256" s="63"/>
      <c r="J256" s="414"/>
      <c r="K256" s="254"/>
      <c r="L256" s="65"/>
      <c r="M256" s="66" t="s">
        <v>106865</v>
      </c>
      <c r="N256" s="67"/>
      <c r="O256" s="190"/>
      <c r="P256" s="68"/>
      <c r="Q256" s="68"/>
      <c r="R256" s="69">
        <f>+R257+R264</f>
        <v>4104009000</v>
      </c>
      <c r="S256" s="69">
        <f t="shared" ref="S256" si="266">+S257+S264</f>
        <v>4104009000</v>
      </c>
      <c r="T256" s="69">
        <f>+T257+T264</f>
        <v>0</v>
      </c>
      <c r="U256" s="70"/>
      <c r="V256" s="70"/>
      <c r="W256" s="254"/>
      <c r="X256" s="69">
        <f t="shared" ref="X256:Y256" si="267">+X257+X264</f>
        <v>0</v>
      </c>
      <c r="Y256" s="69">
        <f t="shared" si="267"/>
        <v>0</v>
      </c>
      <c r="Z256" s="69">
        <f t="shared" ref="Z256:AC256" si="268">+Z257+Z264</f>
        <v>0</v>
      </c>
      <c r="AA256" s="69">
        <f t="shared" si="268"/>
        <v>0</v>
      </c>
      <c r="AB256" s="69">
        <f t="shared" si="268"/>
        <v>0</v>
      </c>
      <c r="AC256" s="69">
        <f t="shared" si="268"/>
        <v>0</v>
      </c>
      <c r="AD256" s="69">
        <f t="shared" ref="AD256:AI256" si="269">+AD257+AD264</f>
        <v>0</v>
      </c>
      <c r="AE256" s="69">
        <f t="shared" si="269"/>
        <v>0</v>
      </c>
      <c r="AF256" s="69">
        <f t="shared" si="269"/>
        <v>0</v>
      </c>
      <c r="AG256" s="69">
        <f t="shared" si="269"/>
        <v>0</v>
      </c>
      <c r="AH256" s="69">
        <f t="shared" si="269"/>
        <v>0</v>
      </c>
      <c r="AI256" s="69">
        <f t="shared" si="269"/>
        <v>0</v>
      </c>
      <c r="AJ256" s="593">
        <v>0</v>
      </c>
    </row>
    <row r="257" spans="2:36" x14ac:dyDescent="0.2">
      <c r="B257" s="334" t="s">
        <v>105516</v>
      </c>
      <c r="C257" s="334" t="s">
        <v>105924</v>
      </c>
      <c r="D257" s="334" t="s">
        <v>105520</v>
      </c>
      <c r="E257" s="334" t="s">
        <v>105573</v>
      </c>
      <c r="F257" s="334" t="s">
        <v>105550</v>
      </c>
      <c r="G257" s="342" t="s">
        <v>105528</v>
      </c>
      <c r="H257" s="170"/>
      <c r="I257" s="170"/>
      <c r="J257" s="422"/>
      <c r="K257" s="170"/>
      <c r="L257" s="171"/>
      <c r="M257" s="172" t="s">
        <v>106867</v>
      </c>
      <c r="N257" s="173"/>
      <c r="O257" s="173"/>
      <c r="P257" s="174"/>
      <c r="Q257" s="174"/>
      <c r="R257" s="175">
        <f>R258</f>
        <v>3944009000</v>
      </c>
      <c r="S257" s="175">
        <f t="shared" ref="S257" si="270">S258</f>
        <v>3944009000</v>
      </c>
      <c r="T257" s="175">
        <f>T258</f>
        <v>0</v>
      </c>
      <c r="U257" s="176"/>
      <c r="V257" s="176"/>
      <c r="W257" s="170"/>
      <c r="X257" s="175">
        <f t="shared" ref="X257:AI257" si="271">X258</f>
        <v>0</v>
      </c>
      <c r="Y257" s="175">
        <f t="shared" si="271"/>
        <v>0</v>
      </c>
      <c r="Z257" s="175">
        <f t="shared" si="271"/>
        <v>0</v>
      </c>
      <c r="AA257" s="175">
        <f t="shared" si="271"/>
        <v>0</v>
      </c>
      <c r="AB257" s="175">
        <f t="shared" si="271"/>
        <v>0</v>
      </c>
      <c r="AC257" s="175">
        <f t="shared" si="271"/>
        <v>0</v>
      </c>
      <c r="AD257" s="175">
        <f t="shared" si="271"/>
        <v>0</v>
      </c>
      <c r="AE257" s="175">
        <f t="shared" si="271"/>
        <v>0</v>
      </c>
      <c r="AF257" s="175">
        <f t="shared" si="271"/>
        <v>0</v>
      </c>
      <c r="AG257" s="175">
        <f t="shared" si="271"/>
        <v>0</v>
      </c>
      <c r="AH257" s="175">
        <f t="shared" si="271"/>
        <v>0</v>
      </c>
      <c r="AI257" s="175">
        <f t="shared" si="271"/>
        <v>0</v>
      </c>
      <c r="AJ257" s="593">
        <v>0</v>
      </c>
    </row>
    <row r="258" spans="2:36" ht="30" x14ac:dyDescent="0.2">
      <c r="B258" s="81" t="s">
        <v>105516</v>
      </c>
      <c r="C258" s="81" t="s">
        <v>105924</v>
      </c>
      <c r="D258" s="81" t="s">
        <v>105520</v>
      </c>
      <c r="E258" s="81" t="s">
        <v>105573</v>
      </c>
      <c r="F258" s="81" t="s">
        <v>105550</v>
      </c>
      <c r="G258" s="81" t="s">
        <v>105528</v>
      </c>
      <c r="H258" s="81" t="s">
        <v>105675</v>
      </c>
      <c r="I258" s="81"/>
      <c r="J258" s="425"/>
      <c r="K258" s="81"/>
      <c r="L258" s="436"/>
      <c r="M258" s="304" t="s">
        <v>113222</v>
      </c>
      <c r="N258" s="83"/>
      <c r="O258" s="83"/>
      <c r="P258" s="84"/>
      <c r="Q258" s="84"/>
      <c r="R258" s="85">
        <f>R259+R261</f>
        <v>3944009000</v>
      </c>
      <c r="S258" s="85">
        <f t="shared" ref="S258" si="272">S259+S261</f>
        <v>3944009000</v>
      </c>
      <c r="T258" s="85">
        <f>T259+T261</f>
        <v>0</v>
      </c>
      <c r="U258" s="86"/>
      <c r="V258" s="86"/>
      <c r="W258" s="80"/>
      <c r="X258" s="85">
        <f t="shared" ref="X258:Y258" si="273">X259+X261</f>
        <v>0</v>
      </c>
      <c r="Y258" s="85">
        <f t="shared" si="273"/>
        <v>0</v>
      </c>
      <c r="Z258" s="85">
        <f t="shared" ref="Z258:AC258" si="274">Z259+Z261</f>
        <v>0</v>
      </c>
      <c r="AA258" s="85">
        <f t="shared" si="274"/>
        <v>0</v>
      </c>
      <c r="AB258" s="85">
        <f t="shared" si="274"/>
        <v>0</v>
      </c>
      <c r="AC258" s="85">
        <f t="shared" si="274"/>
        <v>0</v>
      </c>
      <c r="AD258" s="85">
        <f t="shared" ref="AD258:AI258" si="275">AD259+AD261</f>
        <v>0</v>
      </c>
      <c r="AE258" s="85">
        <f t="shared" si="275"/>
        <v>0</v>
      </c>
      <c r="AF258" s="85">
        <f t="shared" si="275"/>
        <v>0</v>
      </c>
      <c r="AG258" s="85">
        <f t="shared" si="275"/>
        <v>0</v>
      </c>
      <c r="AH258" s="85">
        <f t="shared" si="275"/>
        <v>0</v>
      </c>
      <c r="AI258" s="85">
        <f t="shared" si="275"/>
        <v>0</v>
      </c>
      <c r="AJ258" s="593">
        <v>0</v>
      </c>
    </row>
    <row r="259" spans="2:36" ht="29.25" customHeight="1" x14ac:dyDescent="0.2">
      <c r="B259" s="81" t="s">
        <v>105516</v>
      </c>
      <c r="C259" s="81" t="s">
        <v>105924</v>
      </c>
      <c r="D259" s="81" t="s">
        <v>105520</v>
      </c>
      <c r="E259" s="81" t="s">
        <v>105573</v>
      </c>
      <c r="F259" s="81" t="s">
        <v>105550</v>
      </c>
      <c r="G259" s="81" t="s">
        <v>105528</v>
      </c>
      <c r="H259" s="81" t="s">
        <v>105675</v>
      </c>
      <c r="I259" s="81" t="s">
        <v>106211</v>
      </c>
      <c r="J259" s="425"/>
      <c r="K259" s="81"/>
      <c r="L259" s="436"/>
      <c r="M259" s="304" t="s">
        <v>113223</v>
      </c>
      <c r="N259" s="83"/>
      <c r="O259" s="83"/>
      <c r="P259" s="84"/>
      <c r="Q259" s="84"/>
      <c r="R259" s="85">
        <f>R260</f>
        <v>126000000</v>
      </c>
      <c r="S259" s="85">
        <f t="shared" ref="S259" si="276">S260</f>
        <v>126000000</v>
      </c>
      <c r="T259" s="85">
        <f>T260</f>
        <v>0</v>
      </c>
      <c r="U259" s="86"/>
      <c r="V259" s="86"/>
      <c r="W259" s="80"/>
      <c r="X259" s="85">
        <f t="shared" ref="X259:AI259" si="277">X260</f>
        <v>0</v>
      </c>
      <c r="Y259" s="85">
        <f t="shared" si="277"/>
        <v>0</v>
      </c>
      <c r="Z259" s="85">
        <f t="shared" si="277"/>
        <v>0</v>
      </c>
      <c r="AA259" s="85">
        <f t="shared" si="277"/>
        <v>0</v>
      </c>
      <c r="AB259" s="85">
        <f t="shared" si="277"/>
        <v>0</v>
      </c>
      <c r="AC259" s="85">
        <f t="shared" si="277"/>
        <v>0</v>
      </c>
      <c r="AD259" s="85">
        <f t="shared" si="277"/>
        <v>0</v>
      </c>
      <c r="AE259" s="85">
        <f t="shared" si="277"/>
        <v>0</v>
      </c>
      <c r="AF259" s="85">
        <f t="shared" si="277"/>
        <v>0</v>
      </c>
      <c r="AG259" s="85">
        <f t="shared" si="277"/>
        <v>0</v>
      </c>
      <c r="AH259" s="85">
        <f t="shared" si="277"/>
        <v>0</v>
      </c>
      <c r="AI259" s="85">
        <f t="shared" si="277"/>
        <v>0</v>
      </c>
      <c r="AJ259" s="593">
        <v>0</v>
      </c>
    </row>
    <row r="260" spans="2:36" ht="30" x14ac:dyDescent="0.2">
      <c r="B260" s="194"/>
      <c r="C260" s="195"/>
      <c r="D260" s="195"/>
      <c r="E260" s="195"/>
      <c r="F260" s="195"/>
      <c r="G260" s="195"/>
      <c r="H260" s="195"/>
      <c r="I260" s="195"/>
      <c r="J260" s="195"/>
      <c r="K260" s="96" t="s">
        <v>112489</v>
      </c>
      <c r="L260" s="55"/>
      <c r="M260" s="102" t="s">
        <v>113143</v>
      </c>
      <c r="N260" s="93" t="s">
        <v>113031</v>
      </c>
      <c r="O260" s="93" t="s">
        <v>113031</v>
      </c>
      <c r="P260" s="93" t="s">
        <v>113031</v>
      </c>
      <c r="Q260" s="93" t="s">
        <v>113031</v>
      </c>
      <c r="R260" s="95">
        <v>126000000</v>
      </c>
      <c r="S260" s="571">
        <v>126000000</v>
      </c>
      <c r="T260" s="472">
        <v>0</v>
      </c>
      <c r="U260" s="96"/>
      <c r="V260" s="97"/>
      <c r="W260" s="96" t="s">
        <v>113000</v>
      </c>
      <c r="X260" s="600"/>
      <c r="Y260" s="600"/>
      <c r="Z260" s="600"/>
      <c r="AA260" s="600"/>
      <c r="AB260" s="600"/>
      <c r="AC260" s="600"/>
      <c r="AD260" s="600"/>
      <c r="AE260" s="600"/>
      <c r="AF260" s="600"/>
      <c r="AG260" s="600"/>
      <c r="AH260" s="600"/>
      <c r="AI260" s="600"/>
      <c r="AJ260" s="593">
        <v>0</v>
      </c>
    </row>
    <row r="261" spans="2:36" ht="30" x14ac:dyDescent="0.2">
      <c r="B261" s="80" t="s">
        <v>105516</v>
      </c>
      <c r="C261" s="81" t="s">
        <v>105924</v>
      </c>
      <c r="D261" s="81" t="s">
        <v>105520</v>
      </c>
      <c r="E261" s="81" t="s">
        <v>105573</v>
      </c>
      <c r="F261" s="81" t="s">
        <v>105550</v>
      </c>
      <c r="G261" s="81" t="s">
        <v>105528</v>
      </c>
      <c r="H261" s="80" t="s">
        <v>105675</v>
      </c>
      <c r="I261" s="80" t="s">
        <v>106217</v>
      </c>
      <c r="J261" s="416"/>
      <c r="K261" s="81"/>
      <c r="L261" s="436"/>
      <c r="M261" s="304" t="s">
        <v>106892</v>
      </c>
      <c r="N261" s="83"/>
      <c r="O261" s="83"/>
      <c r="P261" s="84"/>
      <c r="Q261" s="84"/>
      <c r="R261" s="85">
        <f t="shared" ref="R261:S262" si="278">R262</f>
        <v>3818009000</v>
      </c>
      <c r="S261" s="85">
        <f t="shared" si="278"/>
        <v>3818009000</v>
      </c>
      <c r="T261" s="85">
        <f>T262</f>
        <v>0</v>
      </c>
      <c r="U261" s="86"/>
      <c r="V261" s="86"/>
      <c r="W261" s="80"/>
      <c r="X261" s="85">
        <f t="shared" ref="X261:AI262" si="279">X262</f>
        <v>0</v>
      </c>
      <c r="Y261" s="85">
        <f t="shared" si="279"/>
        <v>0</v>
      </c>
      <c r="Z261" s="85">
        <f t="shared" si="279"/>
        <v>0</v>
      </c>
      <c r="AA261" s="85">
        <f t="shared" si="279"/>
        <v>0</v>
      </c>
      <c r="AB261" s="85">
        <f t="shared" si="279"/>
        <v>0</v>
      </c>
      <c r="AC261" s="85">
        <f t="shared" si="279"/>
        <v>0</v>
      </c>
      <c r="AD261" s="85">
        <f t="shared" si="279"/>
        <v>0</v>
      </c>
      <c r="AE261" s="85">
        <f t="shared" si="279"/>
        <v>0</v>
      </c>
      <c r="AF261" s="85">
        <f t="shared" si="279"/>
        <v>0</v>
      </c>
      <c r="AG261" s="85">
        <f t="shared" si="279"/>
        <v>0</v>
      </c>
      <c r="AH261" s="85">
        <f t="shared" si="279"/>
        <v>0</v>
      </c>
      <c r="AI261" s="85">
        <f t="shared" si="279"/>
        <v>0</v>
      </c>
      <c r="AJ261" s="593">
        <v>0</v>
      </c>
    </row>
    <row r="262" spans="2:36" ht="30" x14ac:dyDescent="0.2">
      <c r="B262" s="80" t="s">
        <v>105516</v>
      </c>
      <c r="C262" s="81" t="s">
        <v>105924</v>
      </c>
      <c r="D262" s="81" t="s">
        <v>105520</v>
      </c>
      <c r="E262" s="81" t="s">
        <v>105573</v>
      </c>
      <c r="F262" s="81" t="s">
        <v>105550</v>
      </c>
      <c r="G262" s="81" t="s">
        <v>105528</v>
      </c>
      <c r="H262" s="80" t="s">
        <v>105675</v>
      </c>
      <c r="I262" s="80" t="s">
        <v>106217</v>
      </c>
      <c r="J262" s="416" t="s">
        <v>105917</v>
      </c>
      <c r="K262" s="81"/>
      <c r="L262" s="436"/>
      <c r="M262" s="304" t="s">
        <v>106900</v>
      </c>
      <c r="N262" s="83"/>
      <c r="O262" s="83"/>
      <c r="P262" s="84"/>
      <c r="Q262" s="84"/>
      <c r="R262" s="85">
        <f t="shared" si="278"/>
        <v>3818009000</v>
      </c>
      <c r="S262" s="85">
        <f t="shared" si="278"/>
        <v>3818009000</v>
      </c>
      <c r="T262" s="85">
        <f>T263</f>
        <v>0</v>
      </c>
      <c r="U262" s="86"/>
      <c r="V262" s="86"/>
      <c r="W262" s="80"/>
      <c r="X262" s="85">
        <f t="shared" si="279"/>
        <v>0</v>
      </c>
      <c r="Y262" s="85">
        <f t="shared" si="279"/>
        <v>0</v>
      </c>
      <c r="Z262" s="85">
        <f t="shared" si="279"/>
        <v>0</v>
      </c>
      <c r="AA262" s="85">
        <f t="shared" si="279"/>
        <v>0</v>
      </c>
      <c r="AB262" s="85">
        <f t="shared" si="279"/>
        <v>0</v>
      </c>
      <c r="AC262" s="85">
        <f t="shared" si="279"/>
        <v>0</v>
      </c>
      <c r="AD262" s="85">
        <f t="shared" si="279"/>
        <v>0</v>
      </c>
      <c r="AE262" s="85">
        <f t="shared" si="279"/>
        <v>0</v>
      </c>
      <c r="AF262" s="85">
        <f t="shared" si="279"/>
        <v>0</v>
      </c>
      <c r="AG262" s="85">
        <f t="shared" si="279"/>
        <v>0</v>
      </c>
      <c r="AH262" s="85">
        <f t="shared" si="279"/>
        <v>0</v>
      </c>
      <c r="AI262" s="85">
        <f t="shared" si="279"/>
        <v>0</v>
      </c>
      <c r="AJ262" s="593">
        <v>0</v>
      </c>
    </row>
    <row r="263" spans="2:36" ht="45" x14ac:dyDescent="0.2">
      <c r="B263" s="194"/>
      <c r="C263" s="195"/>
      <c r="D263" s="195"/>
      <c r="E263" s="195"/>
      <c r="F263" s="195"/>
      <c r="G263" s="195"/>
      <c r="H263" s="195"/>
      <c r="I263" s="195"/>
      <c r="J263" s="195"/>
      <c r="K263" s="96" t="s">
        <v>112489</v>
      </c>
      <c r="L263" s="91" t="s">
        <v>113067</v>
      </c>
      <c r="M263" s="102" t="s">
        <v>113537</v>
      </c>
      <c r="N263" s="93"/>
      <c r="O263" s="93"/>
      <c r="P263" s="93"/>
      <c r="Q263" s="93" t="s">
        <v>113069</v>
      </c>
      <c r="R263" s="95">
        <v>3818009000</v>
      </c>
      <c r="S263" s="571">
        <v>3818009000</v>
      </c>
      <c r="T263" s="472">
        <v>0</v>
      </c>
      <c r="U263" s="96" t="s">
        <v>105533</v>
      </c>
      <c r="V263" s="95">
        <v>2214579446</v>
      </c>
      <c r="W263" s="96" t="s">
        <v>113000</v>
      </c>
      <c r="X263" s="600"/>
      <c r="Y263" s="600"/>
      <c r="Z263" s="600"/>
      <c r="AA263" s="600"/>
      <c r="AB263" s="600"/>
      <c r="AC263" s="600"/>
      <c r="AD263" s="600"/>
      <c r="AE263" s="600"/>
      <c r="AF263" s="600"/>
      <c r="AG263" s="600"/>
      <c r="AH263" s="600"/>
      <c r="AI263" s="600"/>
      <c r="AJ263" s="593">
        <v>0</v>
      </c>
    </row>
    <row r="264" spans="2:36" x14ac:dyDescent="0.2">
      <c r="B264" s="334" t="s">
        <v>105516</v>
      </c>
      <c r="C264" s="334" t="s">
        <v>105924</v>
      </c>
      <c r="D264" s="334" t="s">
        <v>105520</v>
      </c>
      <c r="E264" s="334" t="s">
        <v>105573</v>
      </c>
      <c r="F264" s="334" t="s">
        <v>105550</v>
      </c>
      <c r="G264" s="334" t="s">
        <v>105535</v>
      </c>
      <c r="H264" s="170"/>
      <c r="I264" s="170"/>
      <c r="J264" s="422"/>
      <c r="K264" s="170"/>
      <c r="L264" s="171"/>
      <c r="M264" s="172" t="s">
        <v>106948</v>
      </c>
      <c r="N264" s="173"/>
      <c r="O264" s="173"/>
      <c r="P264" s="174"/>
      <c r="Q264" s="174"/>
      <c r="R264" s="175">
        <f t="shared" ref="R264:S266" si="280">+R265</f>
        <v>160000000</v>
      </c>
      <c r="S264" s="175">
        <f t="shared" si="280"/>
        <v>160000000</v>
      </c>
      <c r="T264" s="175">
        <f>+T265</f>
        <v>0</v>
      </c>
      <c r="U264" s="176"/>
      <c r="V264" s="176"/>
      <c r="W264" s="170"/>
      <c r="X264" s="175">
        <f t="shared" ref="X264:AI266" si="281">+X265</f>
        <v>0</v>
      </c>
      <c r="Y264" s="175">
        <f t="shared" si="281"/>
        <v>0</v>
      </c>
      <c r="Z264" s="175">
        <f t="shared" si="281"/>
        <v>0</v>
      </c>
      <c r="AA264" s="175">
        <f t="shared" si="281"/>
        <v>0</v>
      </c>
      <c r="AB264" s="175">
        <f t="shared" si="281"/>
        <v>0</v>
      </c>
      <c r="AC264" s="175">
        <f t="shared" si="281"/>
        <v>0</v>
      </c>
      <c r="AD264" s="175">
        <f t="shared" si="281"/>
        <v>0</v>
      </c>
      <c r="AE264" s="175">
        <f t="shared" si="281"/>
        <v>0</v>
      </c>
      <c r="AF264" s="175">
        <f t="shared" si="281"/>
        <v>0</v>
      </c>
      <c r="AG264" s="175">
        <f t="shared" si="281"/>
        <v>0</v>
      </c>
      <c r="AH264" s="175">
        <f t="shared" si="281"/>
        <v>0</v>
      </c>
      <c r="AI264" s="175">
        <f t="shared" si="281"/>
        <v>0</v>
      </c>
      <c r="AJ264" s="593">
        <v>0</v>
      </c>
    </row>
    <row r="265" spans="2:36" ht="30" x14ac:dyDescent="0.2">
      <c r="B265" s="81" t="s">
        <v>105516</v>
      </c>
      <c r="C265" s="81" t="s">
        <v>105924</v>
      </c>
      <c r="D265" s="81" t="s">
        <v>105520</v>
      </c>
      <c r="E265" s="81" t="s">
        <v>105573</v>
      </c>
      <c r="F265" s="81" t="s">
        <v>105550</v>
      </c>
      <c r="G265" s="81" t="s">
        <v>105535</v>
      </c>
      <c r="H265" s="81" t="s">
        <v>105520</v>
      </c>
      <c r="I265" s="80"/>
      <c r="J265" s="416"/>
      <c r="K265" s="80"/>
      <c r="L265" s="436"/>
      <c r="M265" s="304" t="s">
        <v>106950</v>
      </c>
      <c r="N265" s="83"/>
      <c r="O265" s="83"/>
      <c r="P265" s="84"/>
      <c r="Q265" s="84"/>
      <c r="R265" s="85">
        <f t="shared" si="280"/>
        <v>160000000</v>
      </c>
      <c r="S265" s="85">
        <f t="shared" si="280"/>
        <v>160000000</v>
      </c>
      <c r="T265" s="85">
        <f>+T266</f>
        <v>0</v>
      </c>
      <c r="U265" s="86"/>
      <c r="V265" s="86"/>
      <c r="W265" s="341"/>
      <c r="X265" s="85">
        <f t="shared" si="281"/>
        <v>0</v>
      </c>
      <c r="Y265" s="85">
        <f t="shared" si="281"/>
        <v>0</v>
      </c>
      <c r="Z265" s="85">
        <f t="shared" si="281"/>
        <v>0</v>
      </c>
      <c r="AA265" s="85">
        <f t="shared" si="281"/>
        <v>0</v>
      </c>
      <c r="AB265" s="85">
        <f t="shared" si="281"/>
        <v>0</v>
      </c>
      <c r="AC265" s="85">
        <f t="shared" si="281"/>
        <v>0</v>
      </c>
      <c r="AD265" s="85">
        <f t="shared" si="281"/>
        <v>0</v>
      </c>
      <c r="AE265" s="85">
        <f t="shared" si="281"/>
        <v>0</v>
      </c>
      <c r="AF265" s="85">
        <f t="shared" si="281"/>
        <v>0</v>
      </c>
      <c r="AG265" s="85">
        <f t="shared" si="281"/>
        <v>0</v>
      </c>
      <c r="AH265" s="85">
        <f t="shared" si="281"/>
        <v>0</v>
      </c>
      <c r="AI265" s="85">
        <f t="shared" si="281"/>
        <v>0</v>
      </c>
      <c r="AJ265" s="593">
        <v>0</v>
      </c>
    </row>
    <row r="266" spans="2:36" ht="48" customHeight="1" x14ac:dyDescent="0.2">
      <c r="B266" s="81" t="s">
        <v>105516</v>
      </c>
      <c r="C266" s="81" t="s">
        <v>105924</v>
      </c>
      <c r="D266" s="81" t="s">
        <v>105520</v>
      </c>
      <c r="E266" s="81" t="s">
        <v>105573</v>
      </c>
      <c r="F266" s="81" t="s">
        <v>105550</v>
      </c>
      <c r="G266" s="81" t="s">
        <v>105535</v>
      </c>
      <c r="H266" s="80" t="s">
        <v>105520</v>
      </c>
      <c r="I266" s="80" t="s">
        <v>105576</v>
      </c>
      <c r="J266" s="416"/>
      <c r="K266" s="80"/>
      <c r="L266" s="436"/>
      <c r="M266" s="304" t="s">
        <v>106952</v>
      </c>
      <c r="N266" s="83"/>
      <c r="O266" s="83"/>
      <c r="P266" s="84"/>
      <c r="Q266" s="84"/>
      <c r="R266" s="85">
        <f t="shared" si="280"/>
        <v>160000000</v>
      </c>
      <c r="S266" s="85">
        <f t="shared" si="280"/>
        <v>160000000</v>
      </c>
      <c r="T266" s="85">
        <f>+T267</f>
        <v>0</v>
      </c>
      <c r="U266" s="86"/>
      <c r="V266" s="86"/>
      <c r="W266" s="341"/>
      <c r="X266" s="85">
        <f t="shared" si="281"/>
        <v>0</v>
      </c>
      <c r="Y266" s="85">
        <f t="shared" si="281"/>
        <v>0</v>
      </c>
      <c r="Z266" s="85">
        <f t="shared" si="281"/>
        <v>0</v>
      </c>
      <c r="AA266" s="85">
        <f t="shared" si="281"/>
        <v>0</v>
      </c>
      <c r="AB266" s="85">
        <f t="shared" si="281"/>
        <v>0</v>
      </c>
      <c r="AC266" s="85">
        <f t="shared" si="281"/>
        <v>0</v>
      </c>
      <c r="AD266" s="85">
        <f t="shared" si="281"/>
        <v>0</v>
      </c>
      <c r="AE266" s="85">
        <f t="shared" si="281"/>
        <v>0</v>
      </c>
      <c r="AF266" s="85">
        <f t="shared" si="281"/>
        <v>0</v>
      </c>
      <c r="AG266" s="85">
        <f t="shared" si="281"/>
        <v>0</v>
      </c>
      <c r="AH266" s="85">
        <f t="shared" si="281"/>
        <v>0</v>
      </c>
      <c r="AI266" s="85">
        <f t="shared" si="281"/>
        <v>0</v>
      </c>
      <c r="AJ266" s="593">
        <v>0</v>
      </c>
    </row>
    <row r="267" spans="2:36" x14ac:dyDescent="0.2">
      <c r="B267" s="194"/>
      <c r="C267" s="195"/>
      <c r="D267" s="195"/>
      <c r="E267" s="195"/>
      <c r="F267" s="195"/>
      <c r="G267" s="195"/>
      <c r="H267" s="195"/>
      <c r="I267" s="195"/>
      <c r="J267" s="195"/>
      <c r="K267" s="96" t="s">
        <v>112528</v>
      </c>
      <c r="L267" s="55"/>
      <c r="M267" s="92" t="s">
        <v>113144</v>
      </c>
      <c r="N267" s="93">
        <v>45659</v>
      </c>
      <c r="O267" s="93" t="s">
        <v>113060</v>
      </c>
      <c r="P267" s="132" t="s">
        <v>113068</v>
      </c>
      <c r="Q267" s="93" t="s">
        <v>113031</v>
      </c>
      <c r="R267" s="95">
        <v>160000000</v>
      </c>
      <c r="S267" s="574">
        <v>160000000</v>
      </c>
      <c r="T267" s="474">
        <v>0</v>
      </c>
      <c r="U267" s="96"/>
      <c r="V267" s="97"/>
      <c r="W267" s="96" t="s">
        <v>113064</v>
      </c>
      <c r="X267" s="601"/>
      <c r="Y267" s="601"/>
      <c r="Z267" s="601"/>
      <c r="AA267" s="601"/>
      <c r="AB267" s="601"/>
      <c r="AC267" s="601"/>
      <c r="AD267" s="601"/>
      <c r="AE267" s="601"/>
      <c r="AF267" s="601"/>
      <c r="AG267" s="601"/>
      <c r="AH267" s="601"/>
      <c r="AI267" s="601"/>
      <c r="AJ267" s="593">
        <v>0</v>
      </c>
    </row>
    <row r="268" spans="2:36" ht="30" x14ac:dyDescent="0.2">
      <c r="B268" s="63" t="s">
        <v>105516</v>
      </c>
      <c r="C268" s="63" t="s">
        <v>105924</v>
      </c>
      <c r="D268" s="63" t="s">
        <v>105520</v>
      </c>
      <c r="E268" s="63" t="s">
        <v>105573</v>
      </c>
      <c r="F268" s="63" t="s">
        <v>105553</v>
      </c>
      <c r="G268" s="63"/>
      <c r="H268" s="63"/>
      <c r="I268" s="63"/>
      <c r="J268" s="414"/>
      <c r="K268" s="254"/>
      <c r="L268" s="65"/>
      <c r="M268" s="66" t="s">
        <v>106978</v>
      </c>
      <c r="N268" s="67"/>
      <c r="O268" s="67"/>
      <c r="P268" s="68"/>
      <c r="Q268" s="68"/>
      <c r="R268" s="69">
        <f>+R269+R278+R290</f>
        <v>3047430000</v>
      </c>
      <c r="S268" s="69">
        <f>+S269+S278+S290</f>
        <v>3070430000</v>
      </c>
      <c r="T268" s="69">
        <f>+T269+T278+T290</f>
        <v>0</v>
      </c>
      <c r="U268" s="70"/>
      <c r="V268" s="70"/>
      <c r="W268" s="254"/>
      <c r="X268" s="69">
        <f t="shared" ref="X268:AI268" si="282">+X269+X278+X290</f>
        <v>0</v>
      </c>
      <c r="Y268" s="69">
        <f t="shared" si="282"/>
        <v>0</v>
      </c>
      <c r="Z268" s="69">
        <f t="shared" si="282"/>
        <v>0</v>
      </c>
      <c r="AA268" s="69">
        <f t="shared" si="282"/>
        <v>0</v>
      </c>
      <c r="AB268" s="69">
        <f t="shared" si="282"/>
        <v>0</v>
      </c>
      <c r="AC268" s="69">
        <f t="shared" si="282"/>
        <v>0</v>
      </c>
      <c r="AD268" s="69">
        <f t="shared" si="282"/>
        <v>0</v>
      </c>
      <c r="AE268" s="69">
        <f t="shared" si="282"/>
        <v>0</v>
      </c>
      <c r="AF268" s="69">
        <f t="shared" si="282"/>
        <v>0</v>
      </c>
      <c r="AG268" s="69">
        <f t="shared" si="282"/>
        <v>0</v>
      </c>
      <c r="AH268" s="69">
        <f t="shared" si="282"/>
        <v>0</v>
      </c>
      <c r="AI268" s="69">
        <f t="shared" si="282"/>
        <v>0</v>
      </c>
      <c r="AJ268" s="593">
        <v>0</v>
      </c>
    </row>
    <row r="269" spans="2:36" ht="45" x14ac:dyDescent="0.2">
      <c r="B269" s="334" t="s">
        <v>105516</v>
      </c>
      <c r="C269" s="334" t="s">
        <v>105924</v>
      </c>
      <c r="D269" s="334" t="s">
        <v>105520</v>
      </c>
      <c r="E269" s="334" t="s">
        <v>105573</v>
      </c>
      <c r="F269" s="334" t="s">
        <v>105553</v>
      </c>
      <c r="G269" s="334" t="s">
        <v>105538</v>
      </c>
      <c r="H269" s="170"/>
      <c r="I269" s="170"/>
      <c r="J269" s="422"/>
      <c r="K269" s="170"/>
      <c r="L269" s="171"/>
      <c r="M269" s="307" t="s">
        <v>113224</v>
      </c>
      <c r="N269" s="173"/>
      <c r="O269" s="173"/>
      <c r="P269" s="174"/>
      <c r="Q269" s="174"/>
      <c r="R269" s="175">
        <f t="shared" ref="R269:S270" si="283">+R270</f>
        <v>215750000</v>
      </c>
      <c r="S269" s="175">
        <f t="shared" si="283"/>
        <v>215750000</v>
      </c>
      <c r="T269" s="175">
        <f>+T270</f>
        <v>0</v>
      </c>
      <c r="U269" s="176"/>
      <c r="V269" s="176"/>
      <c r="W269" s="170"/>
      <c r="X269" s="175">
        <f t="shared" ref="X269:AI270" si="284">+X270</f>
        <v>0</v>
      </c>
      <c r="Y269" s="175">
        <f t="shared" si="284"/>
        <v>0</v>
      </c>
      <c r="Z269" s="175">
        <f t="shared" si="284"/>
        <v>0</v>
      </c>
      <c r="AA269" s="175">
        <f t="shared" si="284"/>
        <v>0</v>
      </c>
      <c r="AB269" s="175">
        <f t="shared" si="284"/>
        <v>0</v>
      </c>
      <c r="AC269" s="175">
        <f t="shared" si="284"/>
        <v>0</v>
      </c>
      <c r="AD269" s="175">
        <f t="shared" si="284"/>
        <v>0</v>
      </c>
      <c r="AE269" s="175">
        <f t="shared" si="284"/>
        <v>0</v>
      </c>
      <c r="AF269" s="175">
        <f t="shared" si="284"/>
        <v>0</v>
      </c>
      <c r="AG269" s="175">
        <f t="shared" si="284"/>
        <v>0</v>
      </c>
      <c r="AH269" s="175">
        <f t="shared" si="284"/>
        <v>0</v>
      </c>
      <c r="AI269" s="175">
        <f t="shared" si="284"/>
        <v>0</v>
      </c>
      <c r="AJ269" s="593">
        <v>0</v>
      </c>
    </row>
    <row r="270" spans="2:36" ht="30" x14ac:dyDescent="0.2">
      <c r="B270" s="80" t="s">
        <v>105516</v>
      </c>
      <c r="C270" s="80" t="s">
        <v>105924</v>
      </c>
      <c r="D270" s="80" t="s">
        <v>105520</v>
      </c>
      <c r="E270" s="80" t="s">
        <v>105573</v>
      </c>
      <c r="F270" s="80" t="s">
        <v>105553</v>
      </c>
      <c r="G270" s="80" t="s">
        <v>105538</v>
      </c>
      <c r="H270" s="80" t="s">
        <v>105520</v>
      </c>
      <c r="I270" s="80"/>
      <c r="J270" s="416"/>
      <c r="K270" s="80"/>
      <c r="L270" s="436"/>
      <c r="M270" s="304" t="s">
        <v>107000</v>
      </c>
      <c r="N270" s="83"/>
      <c r="O270" s="83"/>
      <c r="P270" s="84"/>
      <c r="Q270" s="84"/>
      <c r="R270" s="85">
        <f t="shared" si="283"/>
        <v>215750000</v>
      </c>
      <c r="S270" s="85">
        <f t="shared" si="283"/>
        <v>215750000</v>
      </c>
      <c r="T270" s="85">
        <f>+T271</f>
        <v>0</v>
      </c>
      <c r="U270" s="86"/>
      <c r="V270" s="86"/>
      <c r="W270" s="341"/>
      <c r="X270" s="85">
        <f t="shared" si="284"/>
        <v>0</v>
      </c>
      <c r="Y270" s="85">
        <f t="shared" si="284"/>
        <v>0</v>
      </c>
      <c r="Z270" s="85">
        <f t="shared" si="284"/>
        <v>0</v>
      </c>
      <c r="AA270" s="85">
        <f t="shared" si="284"/>
        <v>0</v>
      </c>
      <c r="AB270" s="85">
        <f t="shared" si="284"/>
        <v>0</v>
      </c>
      <c r="AC270" s="85">
        <f t="shared" si="284"/>
        <v>0</v>
      </c>
      <c r="AD270" s="85">
        <f t="shared" si="284"/>
        <v>0</v>
      </c>
      <c r="AE270" s="85">
        <f t="shared" si="284"/>
        <v>0</v>
      </c>
      <c r="AF270" s="85">
        <f t="shared" si="284"/>
        <v>0</v>
      </c>
      <c r="AG270" s="85">
        <f t="shared" si="284"/>
        <v>0</v>
      </c>
      <c r="AH270" s="85">
        <f t="shared" si="284"/>
        <v>0</v>
      </c>
      <c r="AI270" s="85">
        <f t="shared" si="284"/>
        <v>0</v>
      </c>
      <c r="AJ270" s="593">
        <v>0</v>
      </c>
    </row>
    <row r="271" spans="2:36" ht="30" x14ac:dyDescent="0.2">
      <c r="B271" s="80" t="s">
        <v>105516</v>
      </c>
      <c r="C271" s="80" t="s">
        <v>105924</v>
      </c>
      <c r="D271" s="80" t="s">
        <v>105520</v>
      </c>
      <c r="E271" s="80" t="s">
        <v>105573</v>
      </c>
      <c r="F271" s="80" t="s">
        <v>105553</v>
      </c>
      <c r="G271" s="80" t="s">
        <v>105538</v>
      </c>
      <c r="H271" s="80" t="s">
        <v>105520</v>
      </c>
      <c r="I271" s="80" t="s">
        <v>105576</v>
      </c>
      <c r="J271" s="416"/>
      <c r="K271" s="80"/>
      <c r="L271" s="436"/>
      <c r="M271" s="304" t="s">
        <v>107002</v>
      </c>
      <c r="N271" s="83"/>
      <c r="O271" s="83"/>
      <c r="P271" s="84"/>
      <c r="Q271" s="84"/>
      <c r="R271" s="85">
        <f>SUM(R272:R277)</f>
        <v>215750000</v>
      </c>
      <c r="S271" s="85">
        <f>SUM(S272:S277)</f>
        <v>215750000</v>
      </c>
      <c r="T271" s="85">
        <f>SUM(T272:T277)</f>
        <v>0</v>
      </c>
      <c r="U271" s="86"/>
      <c r="V271" s="86"/>
      <c r="W271" s="341"/>
      <c r="X271" s="85">
        <f t="shared" ref="X271:AI271" si="285">SUM(X272:X277)</f>
        <v>0</v>
      </c>
      <c r="Y271" s="85">
        <f t="shared" si="285"/>
        <v>0</v>
      </c>
      <c r="Z271" s="85">
        <f t="shared" si="285"/>
        <v>0</v>
      </c>
      <c r="AA271" s="85">
        <f t="shared" si="285"/>
        <v>0</v>
      </c>
      <c r="AB271" s="85">
        <f t="shared" si="285"/>
        <v>0</v>
      </c>
      <c r="AC271" s="85">
        <f t="shared" si="285"/>
        <v>0</v>
      </c>
      <c r="AD271" s="85">
        <f t="shared" si="285"/>
        <v>0</v>
      </c>
      <c r="AE271" s="85">
        <f t="shared" si="285"/>
        <v>0</v>
      </c>
      <c r="AF271" s="85">
        <f t="shared" si="285"/>
        <v>0</v>
      </c>
      <c r="AG271" s="85">
        <f t="shared" si="285"/>
        <v>0</v>
      </c>
      <c r="AH271" s="85">
        <f t="shared" si="285"/>
        <v>0</v>
      </c>
      <c r="AI271" s="85">
        <f t="shared" si="285"/>
        <v>0</v>
      </c>
      <c r="AJ271" s="593">
        <v>0</v>
      </c>
    </row>
    <row r="272" spans="2:36" ht="60" x14ac:dyDescent="0.2">
      <c r="B272" s="88"/>
      <c r="C272" s="89"/>
      <c r="D272" s="89"/>
      <c r="E272" s="89"/>
      <c r="F272" s="89"/>
      <c r="G272" s="89"/>
      <c r="H272" s="89"/>
      <c r="I272" s="89"/>
      <c r="J272" s="89"/>
      <c r="K272" s="96" t="s">
        <v>112567</v>
      </c>
      <c r="L272" s="91" t="s">
        <v>113295</v>
      </c>
      <c r="M272" s="102" t="s">
        <v>113737</v>
      </c>
      <c r="N272" s="93">
        <v>45684</v>
      </c>
      <c r="O272" s="93" t="s">
        <v>113037</v>
      </c>
      <c r="P272" s="94" t="s">
        <v>113002</v>
      </c>
      <c r="Q272" s="94" t="s">
        <v>113113</v>
      </c>
      <c r="R272" s="515">
        <v>35000000</v>
      </c>
      <c r="S272" s="571">
        <v>35000000</v>
      </c>
      <c r="T272" s="472">
        <v>0</v>
      </c>
      <c r="U272" s="96"/>
      <c r="V272" s="97"/>
      <c r="W272" s="96" t="s">
        <v>113019</v>
      </c>
      <c r="X272" s="600"/>
      <c r="Y272" s="600"/>
      <c r="Z272" s="600"/>
      <c r="AA272" s="600"/>
      <c r="AB272" s="600"/>
      <c r="AC272" s="600"/>
      <c r="AD272" s="600"/>
      <c r="AE272" s="600"/>
      <c r="AF272" s="600"/>
      <c r="AG272" s="600"/>
      <c r="AH272" s="600"/>
      <c r="AI272" s="600"/>
      <c r="AJ272" s="593">
        <v>0</v>
      </c>
    </row>
    <row r="273" spans="2:36" ht="90" x14ac:dyDescent="0.2">
      <c r="B273" s="138"/>
      <c r="C273" s="139"/>
      <c r="D273" s="139"/>
      <c r="E273" s="139"/>
      <c r="F273" s="139"/>
      <c r="G273" s="139"/>
      <c r="H273" s="139"/>
      <c r="I273" s="139"/>
      <c r="J273" s="139"/>
      <c r="K273" s="96" t="s">
        <v>112567</v>
      </c>
      <c r="L273" s="91">
        <v>80101500</v>
      </c>
      <c r="M273" s="102" t="s">
        <v>113738</v>
      </c>
      <c r="N273" s="93">
        <v>45677</v>
      </c>
      <c r="O273" s="93" t="s">
        <v>113037</v>
      </c>
      <c r="P273" s="94" t="s">
        <v>113011</v>
      </c>
      <c r="Q273" s="94" t="s">
        <v>113071</v>
      </c>
      <c r="R273" s="317">
        <f>4500000*11</f>
        <v>49500000</v>
      </c>
      <c r="S273" s="571">
        <v>49500000</v>
      </c>
      <c r="T273" s="472"/>
      <c r="U273" s="96"/>
      <c r="V273" s="97"/>
      <c r="W273" s="96" t="s">
        <v>113019</v>
      </c>
      <c r="X273" s="600"/>
      <c r="Y273" s="600"/>
      <c r="Z273" s="600"/>
      <c r="AA273" s="600"/>
      <c r="AB273" s="600"/>
      <c r="AC273" s="600"/>
      <c r="AD273" s="600"/>
      <c r="AE273" s="600"/>
      <c r="AF273" s="600"/>
      <c r="AG273" s="600"/>
      <c r="AH273" s="600"/>
      <c r="AI273" s="600"/>
      <c r="AJ273" s="593">
        <v>0</v>
      </c>
    </row>
    <row r="274" spans="2:36" ht="75" customHeight="1" x14ac:dyDescent="0.2">
      <c r="B274" s="138"/>
      <c r="C274" s="139"/>
      <c r="D274" s="139"/>
      <c r="E274" s="139"/>
      <c r="F274" s="139"/>
      <c r="G274" s="139"/>
      <c r="H274" s="139"/>
      <c r="I274" s="139"/>
      <c r="J274" s="139"/>
      <c r="K274" s="96" t="s">
        <v>112567</v>
      </c>
      <c r="L274" s="91">
        <v>80101500</v>
      </c>
      <c r="M274" s="102" t="s">
        <v>113796</v>
      </c>
      <c r="N274" s="93">
        <v>45677</v>
      </c>
      <c r="O274" s="93" t="s">
        <v>113037</v>
      </c>
      <c r="P274" s="94" t="s">
        <v>113011</v>
      </c>
      <c r="Q274" s="94" t="s">
        <v>113071</v>
      </c>
      <c r="R274" s="567">
        <f>4500000*11</f>
        <v>49500000</v>
      </c>
      <c r="S274" s="571">
        <v>49500000</v>
      </c>
      <c r="T274" s="472">
        <v>0</v>
      </c>
      <c r="U274" s="96"/>
      <c r="V274" s="97"/>
      <c r="W274" s="96" t="s">
        <v>113019</v>
      </c>
      <c r="X274" s="600"/>
      <c r="Y274" s="600"/>
      <c r="Z274" s="600"/>
      <c r="AA274" s="600"/>
      <c r="AB274" s="600"/>
      <c r="AC274" s="600"/>
      <c r="AD274" s="600"/>
      <c r="AE274" s="600"/>
      <c r="AF274" s="600"/>
      <c r="AG274" s="600"/>
      <c r="AH274" s="600"/>
      <c r="AI274" s="600"/>
      <c r="AJ274" s="593">
        <v>0</v>
      </c>
    </row>
    <row r="275" spans="2:36" s="203" customFormat="1" ht="81.75" customHeight="1" x14ac:dyDescent="0.2">
      <c r="B275" s="197"/>
      <c r="C275" s="198"/>
      <c r="D275" s="198"/>
      <c r="E275" s="198"/>
      <c r="F275" s="198"/>
      <c r="G275" s="198"/>
      <c r="H275" s="198"/>
      <c r="I275" s="198"/>
      <c r="J275" s="198"/>
      <c r="K275" s="200" t="s">
        <v>112567</v>
      </c>
      <c r="L275" s="91">
        <v>80101500</v>
      </c>
      <c r="M275" s="102" t="s">
        <v>113751</v>
      </c>
      <c r="N275" s="93">
        <v>45677</v>
      </c>
      <c r="O275" s="93" t="s">
        <v>113037</v>
      </c>
      <c r="P275" s="94" t="s">
        <v>113002</v>
      </c>
      <c r="Q275" s="94" t="s">
        <v>113071</v>
      </c>
      <c r="R275" s="317">
        <f>4500000*6</f>
        <v>27000000</v>
      </c>
      <c r="S275" s="571">
        <v>27000000</v>
      </c>
      <c r="T275" s="472"/>
      <c r="U275" s="96"/>
      <c r="V275" s="97"/>
      <c r="W275" s="96" t="s">
        <v>113019</v>
      </c>
      <c r="X275" s="600"/>
      <c r="Y275" s="600"/>
      <c r="Z275" s="600"/>
      <c r="AA275" s="600"/>
      <c r="AB275" s="600"/>
      <c r="AC275" s="600"/>
      <c r="AD275" s="600"/>
      <c r="AE275" s="600"/>
      <c r="AF275" s="600"/>
      <c r="AG275" s="600"/>
      <c r="AH275" s="600"/>
      <c r="AI275" s="600"/>
      <c r="AJ275" s="593">
        <v>0</v>
      </c>
    </row>
    <row r="276" spans="2:36" s="203" customFormat="1" ht="57" customHeight="1" x14ac:dyDescent="0.2">
      <c r="B276" s="197"/>
      <c r="C276" s="198"/>
      <c r="D276" s="198"/>
      <c r="E276" s="198"/>
      <c r="F276" s="198"/>
      <c r="G276" s="198"/>
      <c r="H276" s="198"/>
      <c r="I276" s="198"/>
      <c r="J276" s="198"/>
      <c r="K276" s="200" t="s">
        <v>112567</v>
      </c>
      <c r="L276" s="181">
        <v>80161500</v>
      </c>
      <c r="M276" s="102" t="s">
        <v>113797</v>
      </c>
      <c r="N276" s="93">
        <v>45667</v>
      </c>
      <c r="O276" s="93" t="s">
        <v>113060</v>
      </c>
      <c r="P276" s="94" t="s">
        <v>113011</v>
      </c>
      <c r="Q276" s="94" t="s">
        <v>113053</v>
      </c>
      <c r="R276" s="498">
        <v>47850000</v>
      </c>
      <c r="S276" s="571">
        <v>47850000</v>
      </c>
      <c r="T276" s="472">
        <v>0</v>
      </c>
      <c r="U276" s="133" t="s">
        <v>106081</v>
      </c>
      <c r="V276" s="193"/>
      <c r="W276" s="96" t="s">
        <v>113536</v>
      </c>
      <c r="X276" s="600"/>
      <c r="Y276" s="600"/>
      <c r="Z276" s="600"/>
      <c r="AA276" s="600"/>
      <c r="AB276" s="600"/>
      <c r="AC276" s="600"/>
      <c r="AD276" s="600"/>
      <c r="AE276" s="600"/>
      <c r="AF276" s="600"/>
      <c r="AG276" s="600"/>
      <c r="AH276" s="600"/>
      <c r="AI276" s="600"/>
      <c r="AJ276" s="593">
        <v>0</v>
      </c>
    </row>
    <row r="277" spans="2:36" s="203" customFormat="1" ht="45" x14ac:dyDescent="0.2">
      <c r="B277" s="197"/>
      <c r="C277" s="198"/>
      <c r="D277" s="198"/>
      <c r="E277" s="198"/>
      <c r="F277" s="198"/>
      <c r="G277" s="198"/>
      <c r="H277" s="198"/>
      <c r="I277" s="198"/>
      <c r="J277" s="198"/>
      <c r="K277" s="200" t="s">
        <v>112567</v>
      </c>
      <c r="L277" s="55">
        <v>80101500</v>
      </c>
      <c r="M277" s="102" t="s">
        <v>113798</v>
      </c>
      <c r="N277" s="93">
        <v>45667</v>
      </c>
      <c r="O277" s="93" t="s">
        <v>113060</v>
      </c>
      <c r="P277" s="94" t="s">
        <v>113045</v>
      </c>
      <c r="Q277" s="94" t="s">
        <v>113053</v>
      </c>
      <c r="R277" s="567">
        <v>6900000</v>
      </c>
      <c r="S277" s="571">
        <v>6900000</v>
      </c>
      <c r="T277" s="472">
        <v>0</v>
      </c>
      <c r="U277" s="133" t="s">
        <v>106081</v>
      </c>
      <c r="V277" s="193"/>
      <c r="W277" s="96" t="s">
        <v>113064</v>
      </c>
      <c r="X277" s="600"/>
      <c r="Y277" s="600"/>
      <c r="Z277" s="600"/>
      <c r="AA277" s="600"/>
      <c r="AB277" s="600"/>
      <c r="AC277" s="600"/>
      <c r="AD277" s="600"/>
      <c r="AE277" s="600"/>
      <c r="AF277" s="600"/>
      <c r="AG277" s="600"/>
      <c r="AH277" s="600"/>
      <c r="AI277" s="600"/>
      <c r="AJ277" s="593">
        <v>0</v>
      </c>
    </row>
    <row r="278" spans="2:36" x14ac:dyDescent="0.2">
      <c r="B278" s="334" t="s">
        <v>105516</v>
      </c>
      <c r="C278" s="334" t="s">
        <v>105924</v>
      </c>
      <c r="D278" s="334" t="s">
        <v>105520</v>
      </c>
      <c r="E278" s="334" t="s">
        <v>105573</v>
      </c>
      <c r="F278" s="334" t="s">
        <v>105553</v>
      </c>
      <c r="G278" s="334" t="s">
        <v>105544</v>
      </c>
      <c r="H278" s="170"/>
      <c r="I278" s="170"/>
      <c r="J278" s="422"/>
      <c r="K278" s="170"/>
      <c r="L278" s="171"/>
      <c r="M278" s="172" t="s">
        <v>107054</v>
      </c>
      <c r="N278" s="173"/>
      <c r="O278" s="173"/>
      <c r="P278" s="174"/>
      <c r="Q278" s="174"/>
      <c r="R278" s="175">
        <f>SUM(R279+R282)</f>
        <v>2721680000</v>
      </c>
      <c r="S278" s="175">
        <f t="shared" ref="S278" si="286">SUM(S279+S282)</f>
        <v>2721680000</v>
      </c>
      <c r="T278" s="175">
        <f>SUM(T279+T282)</f>
        <v>0</v>
      </c>
      <c r="U278" s="176"/>
      <c r="V278" s="176"/>
      <c r="W278" s="170"/>
      <c r="X278" s="175">
        <f t="shared" ref="X278:Y278" si="287">SUM(X279+X282)</f>
        <v>0</v>
      </c>
      <c r="Y278" s="175">
        <f t="shared" si="287"/>
        <v>0</v>
      </c>
      <c r="Z278" s="175">
        <f t="shared" ref="Z278:AC278" si="288">SUM(Z279+Z282)</f>
        <v>0</v>
      </c>
      <c r="AA278" s="175">
        <f t="shared" si="288"/>
        <v>0</v>
      </c>
      <c r="AB278" s="175">
        <f t="shared" si="288"/>
        <v>0</v>
      </c>
      <c r="AC278" s="175">
        <f t="shared" si="288"/>
        <v>0</v>
      </c>
      <c r="AD278" s="175">
        <f t="shared" ref="AD278:AI278" si="289">SUM(AD279+AD282)</f>
        <v>0</v>
      </c>
      <c r="AE278" s="175">
        <f t="shared" si="289"/>
        <v>0</v>
      </c>
      <c r="AF278" s="175">
        <f t="shared" si="289"/>
        <v>0</v>
      </c>
      <c r="AG278" s="175">
        <f t="shared" si="289"/>
        <v>0</v>
      </c>
      <c r="AH278" s="175">
        <f t="shared" si="289"/>
        <v>0</v>
      </c>
      <c r="AI278" s="175">
        <f t="shared" si="289"/>
        <v>0</v>
      </c>
      <c r="AJ278" s="593">
        <v>0</v>
      </c>
    </row>
    <row r="279" spans="2:36" x14ac:dyDescent="0.2">
      <c r="B279" s="80" t="s">
        <v>105516</v>
      </c>
      <c r="C279" s="80" t="s">
        <v>105924</v>
      </c>
      <c r="D279" s="80" t="s">
        <v>105520</v>
      </c>
      <c r="E279" s="80" t="s">
        <v>105573</v>
      </c>
      <c r="F279" s="80" t="s">
        <v>105553</v>
      </c>
      <c r="G279" s="80" t="s">
        <v>105544</v>
      </c>
      <c r="H279" s="80" t="s">
        <v>105573</v>
      </c>
      <c r="I279" s="80"/>
      <c r="J279" s="416"/>
      <c r="K279" s="80"/>
      <c r="L279" s="436"/>
      <c r="M279" s="82" t="s">
        <v>113148</v>
      </c>
      <c r="N279" s="83"/>
      <c r="O279" s="83"/>
      <c r="P279" s="84"/>
      <c r="Q279" s="84"/>
      <c r="R279" s="85">
        <f>SUM(R280:R281)</f>
        <v>332760000</v>
      </c>
      <c r="S279" s="85">
        <f t="shared" ref="S279" si="290">SUM(S280:S281)</f>
        <v>332760000</v>
      </c>
      <c r="T279" s="85">
        <f>SUM(T280:T281)</f>
        <v>0</v>
      </c>
      <c r="U279" s="86"/>
      <c r="V279" s="86"/>
      <c r="W279" s="341"/>
      <c r="X279" s="85">
        <f t="shared" ref="X279:Y279" si="291">SUM(X280:X281)</f>
        <v>0</v>
      </c>
      <c r="Y279" s="85">
        <f t="shared" si="291"/>
        <v>0</v>
      </c>
      <c r="Z279" s="85">
        <f t="shared" ref="Z279:AC279" si="292">SUM(Z280:Z281)</f>
        <v>0</v>
      </c>
      <c r="AA279" s="85">
        <f t="shared" si="292"/>
        <v>0</v>
      </c>
      <c r="AB279" s="85">
        <f t="shared" si="292"/>
        <v>0</v>
      </c>
      <c r="AC279" s="85">
        <f t="shared" si="292"/>
        <v>0</v>
      </c>
      <c r="AD279" s="85">
        <f t="shared" ref="AD279:AI279" si="293">SUM(AD280:AD281)</f>
        <v>0</v>
      </c>
      <c r="AE279" s="85">
        <f t="shared" si="293"/>
        <v>0</v>
      </c>
      <c r="AF279" s="85">
        <f t="shared" si="293"/>
        <v>0</v>
      </c>
      <c r="AG279" s="85">
        <f t="shared" si="293"/>
        <v>0</v>
      </c>
      <c r="AH279" s="85">
        <f t="shared" si="293"/>
        <v>0</v>
      </c>
      <c r="AI279" s="85">
        <f t="shared" si="293"/>
        <v>0</v>
      </c>
      <c r="AJ279" s="593">
        <v>0</v>
      </c>
    </row>
    <row r="280" spans="2:36" ht="45" x14ac:dyDescent="0.2">
      <c r="B280" s="88"/>
      <c r="C280" s="89"/>
      <c r="D280" s="89"/>
      <c r="E280" s="89"/>
      <c r="F280" s="89"/>
      <c r="G280" s="89"/>
      <c r="H280" s="89"/>
      <c r="I280" s="89"/>
      <c r="J280" s="89"/>
      <c r="K280" s="96" t="s">
        <v>112595</v>
      </c>
      <c r="L280" s="204">
        <v>92121500</v>
      </c>
      <c r="M280" s="92" t="s">
        <v>113540</v>
      </c>
      <c r="N280" s="93"/>
      <c r="O280" s="93"/>
      <c r="P280" s="94"/>
      <c r="Q280" s="132"/>
      <c r="R280" s="205">
        <v>221840000</v>
      </c>
      <c r="S280" s="575">
        <v>221840000</v>
      </c>
      <c r="T280" s="484">
        <v>0</v>
      </c>
      <c r="U280" s="186" t="s">
        <v>106081</v>
      </c>
      <c r="V280" s="97"/>
      <c r="W280" s="96" t="s">
        <v>113000</v>
      </c>
      <c r="X280" s="602"/>
      <c r="Y280" s="602"/>
      <c r="Z280" s="602"/>
      <c r="AA280" s="602"/>
      <c r="AB280" s="602"/>
      <c r="AC280" s="602"/>
      <c r="AD280" s="602"/>
      <c r="AE280" s="602"/>
      <c r="AF280" s="602"/>
      <c r="AG280" s="602"/>
      <c r="AH280" s="602"/>
      <c r="AI280" s="602"/>
      <c r="AJ280" s="593">
        <v>0</v>
      </c>
    </row>
    <row r="281" spans="2:36" ht="45" x14ac:dyDescent="0.2">
      <c r="B281" s="138"/>
      <c r="C281" s="139"/>
      <c r="D281" s="139"/>
      <c r="E281" s="139"/>
      <c r="F281" s="139"/>
      <c r="G281" s="139"/>
      <c r="H281" s="139"/>
      <c r="I281" s="139"/>
      <c r="J281" s="139"/>
      <c r="K281" s="96" t="s">
        <v>112595</v>
      </c>
      <c r="L281" s="204">
        <v>92121500</v>
      </c>
      <c r="M281" s="92" t="s">
        <v>113702</v>
      </c>
      <c r="N281" s="93">
        <v>45838</v>
      </c>
      <c r="O281" s="93" t="s">
        <v>112997</v>
      </c>
      <c r="P281" s="94" t="s">
        <v>113007</v>
      </c>
      <c r="Q281" s="94" t="s">
        <v>112999</v>
      </c>
      <c r="R281" s="95">
        <f>R280/8*4</f>
        <v>110920000</v>
      </c>
      <c r="S281" s="571">
        <v>110920000</v>
      </c>
      <c r="T281" s="472">
        <v>0</v>
      </c>
      <c r="U281" s="96" t="s">
        <v>105533</v>
      </c>
      <c r="V281" s="95">
        <f>CEILING(((R281/4*8)*1.05),10000)</f>
        <v>232940000</v>
      </c>
      <c r="W281" s="96" t="s">
        <v>113000</v>
      </c>
      <c r="X281" s="600"/>
      <c r="Y281" s="600"/>
      <c r="Z281" s="600"/>
      <c r="AA281" s="600"/>
      <c r="AB281" s="600"/>
      <c r="AC281" s="600"/>
      <c r="AD281" s="600"/>
      <c r="AE281" s="600"/>
      <c r="AF281" s="600"/>
      <c r="AG281" s="600"/>
      <c r="AH281" s="600"/>
      <c r="AI281" s="600"/>
      <c r="AJ281" s="593">
        <v>0</v>
      </c>
    </row>
    <row r="282" spans="2:36" x14ac:dyDescent="0.2">
      <c r="B282" s="80" t="s">
        <v>105516</v>
      </c>
      <c r="C282" s="80" t="s">
        <v>105924</v>
      </c>
      <c r="D282" s="80" t="s">
        <v>105520</v>
      </c>
      <c r="E282" s="80" t="s">
        <v>105573</v>
      </c>
      <c r="F282" s="80" t="s">
        <v>105553</v>
      </c>
      <c r="G282" s="80" t="s">
        <v>105544</v>
      </c>
      <c r="H282" s="80" t="s">
        <v>105675</v>
      </c>
      <c r="I282" s="80"/>
      <c r="J282" s="416"/>
      <c r="K282" s="80"/>
      <c r="L282" s="436"/>
      <c r="M282" s="82" t="s">
        <v>107060</v>
      </c>
      <c r="N282" s="83"/>
      <c r="O282" s="83" t="s">
        <v>112995</v>
      </c>
      <c r="P282" s="84"/>
      <c r="Q282" s="84"/>
      <c r="R282" s="85">
        <f>SUM(R283:R289)</f>
        <v>2388920000</v>
      </c>
      <c r="S282" s="85">
        <f t="shared" ref="S282" si="294">SUM(S283:S289)</f>
        <v>2388920000</v>
      </c>
      <c r="T282" s="85">
        <f>SUM(T283:T289)</f>
        <v>0</v>
      </c>
      <c r="U282" s="86"/>
      <c r="V282" s="393"/>
      <c r="W282" s="341"/>
      <c r="X282" s="85">
        <f t="shared" ref="X282:Y282" si="295">SUM(X283:X289)</f>
        <v>0</v>
      </c>
      <c r="Y282" s="85">
        <f t="shared" si="295"/>
        <v>0</v>
      </c>
      <c r="Z282" s="85">
        <f t="shared" ref="Z282:AC282" si="296">SUM(Z283:Z289)</f>
        <v>0</v>
      </c>
      <c r="AA282" s="85">
        <f t="shared" si="296"/>
        <v>0</v>
      </c>
      <c r="AB282" s="85">
        <f t="shared" si="296"/>
        <v>0</v>
      </c>
      <c r="AC282" s="85">
        <f t="shared" si="296"/>
        <v>0</v>
      </c>
      <c r="AD282" s="85">
        <f t="shared" ref="AD282:AI282" si="297">SUM(AD283:AD289)</f>
        <v>0</v>
      </c>
      <c r="AE282" s="85">
        <f t="shared" si="297"/>
        <v>0</v>
      </c>
      <c r="AF282" s="85">
        <f t="shared" si="297"/>
        <v>0</v>
      </c>
      <c r="AG282" s="85">
        <f t="shared" si="297"/>
        <v>0</v>
      </c>
      <c r="AH282" s="85">
        <f t="shared" si="297"/>
        <v>0</v>
      </c>
      <c r="AI282" s="85">
        <f t="shared" si="297"/>
        <v>0</v>
      </c>
      <c r="AJ282" s="593">
        <v>0</v>
      </c>
    </row>
    <row r="283" spans="2:36" ht="30" x14ac:dyDescent="0.2">
      <c r="B283" s="88"/>
      <c r="C283" s="89"/>
      <c r="D283" s="89"/>
      <c r="E283" s="89"/>
      <c r="F283" s="89"/>
      <c r="G283" s="89"/>
      <c r="H283" s="89"/>
      <c r="I283" s="89"/>
      <c r="J283" s="89"/>
      <c r="K283" s="96" t="s">
        <v>112595</v>
      </c>
      <c r="L283" s="55">
        <v>76111500</v>
      </c>
      <c r="M283" s="92" t="s">
        <v>113542</v>
      </c>
      <c r="N283" s="93"/>
      <c r="O283" s="93"/>
      <c r="P283" s="94"/>
      <c r="Q283" s="132"/>
      <c r="R283" s="205">
        <v>1217040000</v>
      </c>
      <c r="S283" s="575">
        <v>1217040000</v>
      </c>
      <c r="T283" s="484">
        <v>0</v>
      </c>
      <c r="U283" s="186" t="s">
        <v>106081</v>
      </c>
      <c r="V283" s="97"/>
      <c r="W283" s="96" t="s">
        <v>113000</v>
      </c>
      <c r="X283" s="602"/>
      <c r="Y283" s="602"/>
      <c r="Z283" s="602"/>
      <c r="AA283" s="602"/>
      <c r="AB283" s="602"/>
      <c r="AC283" s="602"/>
      <c r="AD283" s="602"/>
      <c r="AE283" s="602"/>
      <c r="AF283" s="602"/>
      <c r="AG283" s="602"/>
      <c r="AH283" s="602"/>
      <c r="AI283" s="602"/>
      <c r="AJ283" s="593">
        <v>0</v>
      </c>
    </row>
    <row r="284" spans="2:36" ht="45" x14ac:dyDescent="0.2">
      <c r="B284" s="138"/>
      <c r="C284" s="139"/>
      <c r="D284" s="139"/>
      <c r="E284" s="139"/>
      <c r="F284" s="139"/>
      <c r="G284" s="139"/>
      <c r="H284" s="139"/>
      <c r="I284" s="139"/>
      <c r="J284" s="139"/>
      <c r="K284" s="96" t="s">
        <v>112595</v>
      </c>
      <c r="L284" s="55">
        <v>76111500</v>
      </c>
      <c r="M284" s="92" t="s">
        <v>113703</v>
      </c>
      <c r="N284" s="93">
        <v>45838</v>
      </c>
      <c r="O284" s="93" t="s">
        <v>112997</v>
      </c>
      <c r="P284" s="94" t="s">
        <v>113007</v>
      </c>
      <c r="Q284" s="94" t="s">
        <v>113038</v>
      </c>
      <c r="R284" s="95">
        <f>R283/8*4</f>
        <v>608520000</v>
      </c>
      <c r="S284" s="571">
        <v>608520000</v>
      </c>
      <c r="T284" s="484">
        <v>0</v>
      </c>
      <c r="U284" s="96" t="s">
        <v>105533</v>
      </c>
      <c r="V284" s="95">
        <f>CEILING(((R284/4*8)*1.05),10000)</f>
        <v>1277900000</v>
      </c>
      <c r="W284" s="96" t="s">
        <v>113000</v>
      </c>
      <c r="X284" s="600"/>
      <c r="Y284" s="600"/>
      <c r="Z284" s="600"/>
      <c r="AA284" s="600"/>
      <c r="AB284" s="600"/>
      <c r="AC284" s="600"/>
      <c r="AD284" s="600"/>
      <c r="AE284" s="600"/>
      <c r="AF284" s="600"/>
      <c r="AG284" s="600"/>
      <c r="AH284" s="600"/>
      <c r="AI284" s="600"/>
      <c r="AJ284" s="593">
        <v>0</v>
      </c>
    </row>
    <row r="285" spans="2:36" ht="45" x14ac:dyDescent="0.2">
      <c r="B285" s="138"/>
      <c r="C285" s="139"/>
      <c r="D285" s="139"/>
      <c r="E285" s="139"/>
      <c r="F285" s="139"/>
      <c r="G285" s="139"/>
      <c r="H285" s="139"/>
      <c r="I285" s="139"/>
      <c r="J285" s="139"/>
      <c r="K285" s="96" t="s">
        <v>112595</v>
      </c>
      <c r="L285" s="55">
        <v>76111500</v>
      </c>
      <c r="M285" s="92" t="s">
        <v>113544</v>
      </c>
      <c r="N285" s="93"/>
      <c r="O285" s="93"/>
      <c r="P285" s="132"/>
      <c r="Q285" s="94"/>
      <c r="R285" s="95">
        <v>224240000</v>
      </c>
      <c r="S285" s="571">
        <v>224240000</v>
      </c>
      <c r="T285" s="484">
        <v>0</v>
      </c>
      <c r="U285" s="96" t="s">
        <v>106081</v>
      </c>
      <c r="V285" s="206"/>
      <c r="W285" s="96" t="s">
        <v>113000</v>
      </c>
      <c r="X285" s="600"/>
      <c r="Y285" s="600"/>
      <c r="Z285" s="600"/>
      <c r="AA285" s="600"/>
      <c r="AB285" s="600"/>
      <c r="AC285" s="600"/>
      <c r="AD285" s="600"/>
      <c r="AE285" s="600"/>
      <c r="AF285" s="600"/>
      <c r="AG285" s="600"/>
      <c r="AH285" s="600"/>
      <c r="AI285" s="600"/>
      <c r="AJ285" s="593">
        <v>0</v>
      </c>
    </row>
    <row r="286" spans="2:36" ht="45" x14ac:dyDescent="0.2">
      <c r="B286" s="138"/>
      <c r="C286" s="139"/>
      <c r="D286" s="139"/>
      <c r="E286" s="139"/>
      <c r="F286" s="139"/>
      <c r="G286" s="139"/>
      <c r="H286" s="139"/>
      <c r="I286" s="139"/>
      <c r="J286" s="139"/>
      <c r="K286" s="96" t="s">
        <v>112595</v>
      </c>
      <c r="L286" s="55">
        <v>76111500</v>
      </c>
      <c r="M286" s="92" t="s">
        <v>113704</v>
      </c>
      <c r="N286" s="93">
        <v>45838</v>
      </c>
      <c r="O286" s="93" t="s">
        <v>112997</v>
      </c>
      <c r="P286" s="94" t="s">
        <v>113007</v>
      </c>
      <c r="Q286" s="94" t="s">
        <v>113069</v>
      </c>
      <c r="R286" s="95">
        <f>R285/8*4</f>
        <v>112120000</v>
      </c>
      <c r="S286" s="571">
        <v>112120000</v>
      </c>
      <c r="T286" s="484">
        <v>0</v>
      </c>
      <c r="U286" s="96" t="s">
        <v>105533</v>
      </c>
      <c r="V286" s="95">
        <f>CEILING(((R286/4*8)*1.05),10000)</f>
        <v>235460000</v>
      </c>
      <c r="W286" s="96" t="s">
        <v>113000</v>
      </c>
      <c r="X286" s="600"/>
      <c r="Y286" s="600"/>
      <c r="Z286" s="600"/>
      <c r="AA286" s="600"/>
      <c r="AB286" s="600"/>
      <c r="AC286" s="600"/>
      <c r="AD286" s="600"/>
      <c r="AE286" s="600"/>
      <c r="AF286" s="600"/>
      <c r="AG286" s="600"/>
      <c r="AH286" s="600"/>
      <c r="AI286" s="600"/>
      <c r="AJ286" s="593">
        <v>0</v>
      </c>
    </row>
    <row r="287" spans="2:36" ht="45" x14ac:dyDescent="0.2">
      <c r="B287" s="138"/>
      <c r="C287" s="139"/>
      <c r="D287" s="139"/>
      <c r="E287" s="139"/>
      <c r="F287" s="139"/>
      <c r="G287" s="139"/>
      <c r="H287" s="139"/>
      <c r="I287" s="139"/>
      <c r="J287" s="139"/>
      <c r="K287" s="96" t="s">
        <v>112595</v>
      </c>
      <c r="L287" s="91" t="s">
        <v>113153</v>
      </c>
      <c r="M287" s="92" t="s">
        <v>113706</v>
      </c>
      <c r="N287" s="93">
        <v>45365</v>
      </c>
      <c r="O287" s="93" t="s">
        <v>113087</v>
      </c>
      <c r="P287" s="94" t="s">
        <v>113002</v>
      </c>
      <c r="Q287" s="94" t="s">
        <v>112999</v>
      </c>
      <c r="R287" s="118">
        <f>CEILING((60000000*1.12),1000000)</f>
        <v>68000000</v>
      </c>
      <c r="S287" s="571">
        <v>68000000</v>
      </c>
      <c r="T287" s="484">
        <v>0</v>
      </c>
      <c r="U287" s="96" t="s">
        <v>106081</v>
      </c>
      <c r="V287" s="97"/>
      <c r="W287" s="96" t="s">
        <v>113000</v>
      </c>
      <c r="X287" s="600"/>
      <c r="Y287" s="600"/>
      <c r="Z287" s="600"/>
      <c r="AA287" s="600"/>
      <c r="AB287" s="600"/>
      <c r="AC287" s="600"/>
      <c r="AD287" s="600"/>
      <c r="AE287" s="600"/>
      <c r="AF287" s="600"/>
      <c r="AG287" s="600"/>
      <c r="AH287" s="600"/>
      <c r="AI287" s="600"/>
      <c r="AJ287" s="593">
        <v>0</v>
      </c>
    </row>
    <row r="288" spans="2:36" ht="45" x14ac:dyDescent="0.2">
      <c r="B288" s="138"/>
      <c r="C288" s="139"/>
      <c r="D288" s="139"/>
      <c r="E288" s="139"/>
      <c r="F288" s="139"/>
      <c r="G288" s="139"/>
      <c r="H288" s="139"/>
      <c r="I288" s="139"/>
      <c r="J288" s="139"/>
      <c r="K288" s="96" t="s">
        <v>112595</v>
      </c>
      <c r="L288" s="55">
        <v>72102100</v>
      </c>
      <c r="M288" s="92" t="s">
        <v>113705</v>
      </c>
      <c r="N288" s="93">
        <v>45365</v>
      </c>
      <c r="O288" s="93" t="s">
        <v>113087</v>
      </c>
      <c r="P288" s="94" t="s">
        <v>113002</v>
      </c>
      <c r="Q288" s="94" t="s">
        <v>112999</v>
      </c>
      <c r="R288" s="118">
        <f>CEILING((150000000*1.06),10000)</f>
        <v>159000000</v>
      </c>
      <c r="S288" s="571">
        <v>159000000</v>
      </c>
      <c r="T288" s="484">
        <v>0</v>
      </c>
      <c r="U288" s="96" t="s">
        <v>106081</v>
      </c>
      <c r="V288" s="97"/>
      <c r="W288" s="96" t="s">
        <v>113000</v>
      </c>
      <c r="X288" s="600"/>
      <c r="Y288" s="600"/>
      <c r="Z288" s="600"/>
      <c r="AA288" s="600"/>
      <c r="AB288" s="600"/>
      <c r="AC288" s="600"/>
      <c r="AD288" s="600"/>
      <c r="AE288" s="600"/>
      <c r="AF288" s="600"/>
      <c r="AG288" s="600"/>
      <c r="AH288" s="600"/>
      <c r="AI288" s="600"/>
      <c r="AJ288" s="593">
        <v>0</v>
      </c>
    </row>
    <row r="289" spans="2:36" x14ac:dyDescent="0.2">
      <c r="B289" s="138"/>
      <c r="C289" s="139"/>
      <c r="D289" s="139"/>
      <c r="E289" s="139"/>
      <c r="F289" s="139"/>
      <c r="G289" s="139"/>
      <c r="H289" s="139"/>
      <c r="I289" s="139"/>
      <c r="J289" s="139"/>
      <c r="K289" s="96" t="s">
        <v>112595</v>
      </c>
      <c r="L289" s="55"/>
      <c r="M289" s="92"/>
      <c r="N289" s="93"/>
      <c r="O289" s="93"/>
      <c r="P289" s="94"/>
      <c r="Q289" s="94"/>
      <c r="R289" s="95"/>
      <c r="S289" s="571"/>
      <c r="T289" s="472"/>
      <c r="U289" s="96"/>
      <c r="V289" s="144"/>
      <c r="W289" s="96"/>
      <c r="X289" s="600"/>
      <c r="Y289" s="600"/>
      <c r="Z289" s="600"/>
      <c r="AA289" s="600"/>
      <c r="AB289" s="600"/>
      <c r="AC289" s="600"/>
      <c r="AD289" s="600"/>
      <c r="AE289" s="600"/>
      <c r="AF289" s="600"/>
      <c r="AG289" s="600"/>
      <c r="AH289" s="600"/>
      <c r="AI289" s="600"/>
      <c r="AJ289" s="593">
        <v>0</v>
      </c>
    </row>
    <row r="290" spans="2:36" ht="30" x14ac:dyDescent="0.2">
      <c r="B290" s="334" t="s">
        <v>105516</v>
      </c>
      <c r="C290" s="334" t="s">
        <v>105924</v>
      </c>
      <c r="D290" s="334" t="s">
        <v>105520</v>
      </c>
      <c r="E290" s="334" t="s">
        <v>105573</v>
      </c>
      <c r="F290" s="334" t="s">
        <v>105553</v>
      </c>
      <c r="G290" s="334" t="s">
        <v>105550</v>
      </c>
      <c r="H290" s="170"/>
      <c r="I290" s="170"/>
      <c r="J290" s="422"/>
      <c r="K290" s="170"/>
      <c r="L290" s="171"/>
      <c r="M290" s="307" t="s">
        <v>107092</v>
      </c>
      <c r="N290" s="173"/>
      <c r="O290" s="173" t="s">
        <v>112995</v>
      </c>
      <c r="P290" s="174"/>
      <c r="Q290" s="174"/>
      <c r="R290" s="175">
        <f t="shared" ref="R290:S291" si="298">+R291</f>
        <v>110000000</v>
      </c>
      <c r="S290" s="175">
        <f t="shared" si="298"/>
        <v>133000000</v>
      </c>
      <c r="T290" s="175">
        <f>+T291</f>
        <v>0</v>
      </c>
      <c r="U290" s="176"/>
      <c r="V290" s="176"/>
      <c r="W290" s="170"/>
      <c r="X290" s="175">
        <f t="shared" ref="X290:AI291" si="299">+X291</f>
        <v>0</v>
      </c>
      <c r="Y290" s="175">
        <f t="shared" si="299"/>
        <v>0</v>
      </c>
      <c r="Z290" s="175">
        <f t="shared" si="299"/>
        <v>0</v>
      </c>
      <c r="AA290" s="175">
        <f t="shared" si="299"/>
        <v>0</v>
      </c>
      <c r="AB290" s="175">
        <f t="shared" si="299"/>
        <v>0</v>
      </c>
      <c r="AC290" s="175">
        <f t="shared" si="299"/>
        <v>0</v>
      </c>
      <c r="AD290" s="175">
        <f t="shared" si="299"/>
        <v>0</v>
      </c>
      <c r="AE290" s="175">
        <f t="shared" si="299"/>
        <v>0</v>
      </c>
      <c r="AF290" s="175">
        <f t="shared" si="299"/>
        <v>0</v>
      </c>
      <c r="AG290" s="175">
        <f t="shared" si="299"/>
        <v>0</v>
      </c>
      <c r="AH290" s="175">
        <f t="shared" si="299"/>
        <v>0</v>
      </c>
      <c r="AI290" s="175">
        <f t="shared" si="299"/>
        <v>0</v>
      </c>
      <c r="AJ290" s="593">
        <v>0</v>
      </c>
    </row>
    <row r="291" spans="2:36" ht="30" x14ac:dyDescent="0.2">
      <c r="B291" s="80" t="s">
        <v>105516</v>
      </c>
      <c r="C291" s="80" t="s">
        <v>105924</v>
      </c>
      <c r="D291" s="80" t="s">
        <v>105520</v>
      </c>
      <c r="E291" s="80" t="s">
        <v>105573</v>
      </c>
      <c r="F291" s="80" t="s">
        <v>105553</v>
      </c>
      <c r="G291" s="80" t="s">
        <v>105550</v>
      </c>
      <c r="H291" s="80" t="s">
        <v>105520</v>
      </c>
      <c r="I291" s="80"/>
      <c r="J291" s="416"/>
      <c r="K291" s="80"/>
      <c r="L291" s="436"/>
      <c r="M291" s="304" t="s">
        <v>107094</v>
      </c>
      <c r="N291" s="83"/>
      <c r="O291" s="83" t="s">
        <v>112995</v>
      </c>
      <c r="P291" s="84"/>
      <c r="Q291" s="84"/>
      <c r="R291" s="85">
        <f t="shared" si="298"/>
        <v>110000000</v>
      </c>
      <c r="S291" s="85">
        <f t="shared" si="298"/>
        <v>133000000</v>
      </c>
      <c r="T291" s="85">
        <f>+T292</f>
        <v>0</v>
      </c>
      <c r="U291" s="86"/>
      <c r="V291" s="86"/>
      <c r="W291" s="341"/>
      <c r="X291" s="85">
        <f t="shared" si="299"/>
        <v>0</v>
      </c>
      <c r="Y291" s="85">
        <f t="shared" si="299"/>
        <v>0</v>
      </c>
      <c r="Z291" s="85">
        <f t="shared" si="299"/>
        <v>0</v>
      </c>
      <c r="AA291" s="85">
        <f t="shared" si="299"/>
        <v>0</v>
      </c>
      <c r="AB291" s="85">
        <f t="shared" si="299"/>
        <v>0</v>
      </c>
      <c r="AC291" s="85">
        <f t="shared" si="299"/>
        <v>0</v>
      </c>
      <c r="AD291" s="85">
        <f t="shared" si="299"/>
        <v>0</v>
      </c>
      <c r="AE291" s="85">
        <f t="shared" si="299"/>
        <v>0</v>
      </c>
      <c r="AF291" s="85">
        <f t="shared" si="299"/>
        <v>0</v>
      </c>
      <c r="AG291" s="85">
        <f t="shared" si="299"/>
        <v>0</v>
      </c>
      <c r="AH291" s="85">
        <f t="shared" si="299"/>
        <v>0</v>
      </c>
      <c r="AI291" s="85">
        <f t="shared" si="299"/>
        <v>0</v>
      </c>
      <c r="AJ291" s="593">
        <v>0</v>
      </c>
    </row>
    <row r="292" spans="2:36" ht="30" x14ac:dyDescent="0.2">
      <c r="B292" s="80" t="s">
        <v>105516</v>
      </c>
      <c r="C292" s="80" t="s">
        <v>105924</v>
      </c>
      <c r="D292" s="80" t="s">
        <v>105520</v>
      </c>
      <c r="E292" s="80" t="s">
        <v>105573</v>
      </c>
      <c r="F292" s="80" t="s">
        <v>105553</v>
      </c>
      <c r="G292" s="80" t="s">
        <v>105550</v>
      </c>
      <c r="H292" s="80" t="s">
        <v>105520</v>
      </c>
      <c r="I292" s="80" t="s">
        <v>106217</v>
      </c>
      <c r="J292" s="416"/>
      <c r="K292" s="80"/>
      <c r="L292" s="436"/>
      <c r="M292" s="304" t="s">
        <v>107104</v>
      </c>
      <c r="N292" s="83"/>
      <c r="O292" s="83" t="s">
        <v>112995</v>
      </c>
      <c r="P292" s="84"/>
      <c r="Q292" s="84"/>
      <c r="R292" s="85">
        <f>SUM(R293:R294)</f>
        <v>110000000</v>
      </c>
      <c r="S292" s="85">
        <f t="shared" ref="S292" si="300">SUM(S293:S294)</f>
        <v>133000000</v>
      </c>
      <c r="T292" s="85">
        <f>SUM(T293:T294)</f>
        <v>0</v>
      </c>
      <c r="U292" s="86"/>
      <c r="V292" s="86"/>
      <c r="W292" s="341"/>
      <c r="X292" s="85">
        <f t="shared" ref="X292:Y292" si="301">SUM(X293:X294)</f>
        <v>0</v>
      </c>
      <c r="Y292" s="85">
        <f t="shared" si="301"/>
        <v>0</v>
      </c>
      <c r="Z292" s="85">
        <f t="shared" ref="Z292:AC292" si="302">SUM(Z293:Z294)</f>
        <v>0</v>
      </c>
      <c r="AA292" s="85">
        <f t="shared" si="302"/>
        <v>0</v>
      </c>
      <c r="AB292" s="85">
        <f t="shared" si="302"/>
        <v>0</v>
      </c>
      <c r="AC292" s="85">
        <f t="shared" si="302"/>
        <v>0</v>
      </c>
      <c r="AD292" s="85">
        <f t="shared" ref="AD292:AI292" si="303">SUM(AD293:AD294)</f>
        <v>0</v>
      </c>
      <c r="AE292" s="85">
        <f t="shared" si="303"/>
        <v>0</v>
      </c>
      <c r="AF292" s="85">
        <f t="shared" si="303"/>
        <v>0</v>
      </c>
      <c r="AG292" s="85">
        <f t="shared" si="303"/>
        <v>0</v>
      </c>
      <c r="AH292" s="85">
        <f t="shared" si="303"/>
        <v>0</v>
      </c>
      <c r="AI292" s="85">
        <f t="shared" si="303"/>
        <v>0</v>
      </c>
      <c r="AJ292" s="593">
        <v>0</v>
      </c>
    </row>
    <row r="293" spans="2:36" ht="45" x14ac:dyDescent="0.2">
      <c r="B293" s="88"/>
      <c r="C293" s="89"/>
      <c r="D293" s="89"/>
      <c r="E293" s="89"/>
      <c r="F293" s="89"/>
      <c r="G293" s="89"/>
      <c r="H293" s="89"/>
      <c r="I293" s="89"/>
      <c r="J293" s="89"/>
      <c r="K293" s="96" t="s">
        <v>112614</v>
      </c>
      <c r="L293" s="91" t="s">
        <v>113244</v>
      </c>
      <c r="M293" s="102" t="s">
        <v>113713</v>
      </c>
      <c r="N293" s="93">
        <v>45839</v>
      </c>
      <c r="O293" s="93" t="s">
        <v>113010</v>
      </c>
      <c r="P293" s="94" t="s">
        <v>113155</v>
      </c>
      <c r="Q293" s="94" t="s">
        <v>113038</v>
      </c>
      <c r="R293" s="449">
        <v>80000000</v>
      </c>
      <c r="S293" s="571">
        <v>80000000</v>
      </c>
      <c r="T293" s="472">
        <v>0</v>
      </c>
      <c r="U293" s="96"/>
      <c r="V293" s="97"/>
      <c r="W293" s="96" t="s">
        <v>113019</v>
      </c>
      <c r="X293" s="600"/>
      <c r="Y293" s="600"/>
      <c r="Z293" s="600"/>
      <c r="AA293" s="600"/>
      <c r="AB293" s="600"/>
      <c r="AC293" s="600"/>
      <c r="AD293" s="600"/>
      <c r="AE293" s="600"/>
      <c r="AF293" s="600"/>
      <c r="AG293" s="600"/>
      <c r="AH293" s="600"/>
      <c r="AI293" s="600"/>
      <c r="AJ293" s="593">
        <v>0</v>
      </c>
    </row>
    <row r="294" spans="2:36" ht="45" x14ac:dyDescent="0.2">
      <c r="B294" s="88"/>
      <c r="C294" s="89"/>
      <c r="D294" s="89"/>
      <c r="E294" s="89"/>
      <c r="F294" s="89"/>
      <c r="G294" s="89"/>
      <c r="H294" s="89"/>
      <c r="I294" s="89"/>
      <c r="J294" s="89"/>
      <c r="K294" s="96" t="s">
        <v>112614</v>
      </c>
      <c r="L294" s="127">
        <v>73152100</v>
      </c>
      <c r="M294" s="120" t="s">
        <v>113157</v>
      </c>
      <c r="N294" s="93">
        <v>45838</v>
      </c>
      <c r="O294" s="93" t="s">
        <v>113546</v>
      </c>
      <c r="P294" s="94"/>
      <c r="Q294" s="94" t="s">
        <v>113007</v>
      </c>
      <c r="R294" s="564">
        <v>30000000</v>
      </c>
      <c r="S294" s="571">
        <v>53000000</v>
      </c>
      <c r="T294" s="472">
        <v>0</v>
      </c>
      <c r="U294" s="96"/>
      <c r="V294" s="97"/>
      <c r="W294" s="96" t="s">
        <v>113000</v>
      </c>
      <c r="X294" s="600"/>
      <c r="Y294" s="600"/>
      <c r="Z294" s="600"/>
      <c r="AA294" s="600"/>
      <c r="AB294" s="600"/>
      <c r="AC294" s="600"/>
      <c r="AD294" s="600"/>
      <c r="AE294" s="600"/>
      <c r="AF294" s="600"/>
      <c r="AG294" s="600"/>
      <c r="AH294" s="600"/>
      <c r="AI294" s="600"/>
      <c r="AJ294" s="593">
        <v>0</v>
      </c>
    </row>
    <row r="295" spans="2:36" x14ac:dyDescent="0.2">
      <c r="B295" s="63" t="s">
        <v>105516</v>
      </c>
      <c r="C295" s="63" t="s">
        <v>105924</v>
      </c>
      <c r="D295" s="63" t="s">
        <v>105520</v>
      </c>
      <c r="E295" s="63" t="s">
        <v>105573</v>
      </c>
      <c r="F295" s="63" t="s">
        <v>105556</v>
      </c>
      <c r="G295" s="63"/>
      <c r="H295" s="63"/>
      <c r="I295" s="63"/>
      <c r="J295" s="414"/>
      <c r="K295" s="254"/>
      <c r="L295" s="65"/>
      <c r="M295" s="306" t="s">
        <v>107164</v>
      </c>
      <c r="N295" s="67"/>
      <c r="O295" s="67"/>
      <c r="P295" s="68"/>
      <c r="Q295" s="68"/>
      <c r="R295" s="69">
        <f>R296</f>
        <v>0</v>
      </c>
      <c r="S295" s="69">
        <f t="shared" ref="S295" si="304">S296</f>
        <v>0</v>
      </c>
      <c r="T295" s="69">
        <f>T296</f>
        <v>0</v>
      </c>
      <c r="U295" s="70"/>
      <c r="V295" s="70"/>
      <c r="W295" s="254"/>
      <c r="X295" s="69">
        <f t="shared" ref="X295:AI295" si="305">X296</f>
        <v>0</v>
      </c>
      <c r="Y295" s="69">
        <f t="shared" si="305"/>
        <v>0</v>
      </c>
      <c r="Z295" s="69">
        <f t="shared" si="305"/>
        <v>0</v>
      </c>
      <c r="AA295" s="69">
        <f t="shared" si="305"/>
        <v>0</v>
      </c>
      <c r="AB295" s="69">
        <f t="shared" si="305"/>
        <v>0</v>
      </c>
      <c r="AC295" s="69">
        <f t="shared" si="305"/>
        <v>0</v>
      </c>
      <c r="AD295" s="69">
        <f t="shared" si="305"/>
        <v>0</v>
      </c>
      <c r="AE295" s="69">
        <f t="shared" si="305"/>
        <v>0</v>
      </c>
      <c r="AF295" s="69">
        <f t="shared" si="305"/>
        <v>0</v>
      </c>
      <c r="AG295" s="69">
        <f t="shared" si="305"/>
        <v>0</v>
      </c>
      <c r="AH295" s="69">
        <f t="shared" si="305"/>
        <v>0</v>
      </c>
      <c r="AI295" s="69">
        <f t="shared" si="305"/>
        <v>0</v>
      </c>
      <c r="AJ295" s="593">
        <v>0</v>
      </c>
    </row>
    <row r="296" spans="2:36" ht="45" x14ac:dyDescent="0.2">
      <c r="B296" s="334" t="s">
        <v>105516</v>
      </c>
      <c r="C296" s="334" t="s">
        <v>105924</v>
      </c>
      <c r="D296" s="334" t="s">
        <v>105520</v>
      </c>
      <c r="E296" s="334" t="s">
        <v>105573</v>
      </c>
      <c r="F296" s="334" t="s">
        <v>105556</v>
      </c>
      <c r="G296" s="334" t="s">
        <v>105541</v>
      </c>
      <c r="H296" s="170"/>
      <c r="I296" s="170"/>
      <c r="J296" s="422"/>
      <c r="K296" s="170"/>
      <c r="L296" s="171"/>
      <c r="M296" s="307" t="s">
        <v>107192</v>
      </c>
      <c r="N296" s="173"/>
      <c r="O296" s="173" t="s">
        <v>112995</v>
      </c>
      <c r="P296" s="174"/>
      <c r="Q296" s="174"/>
      <c r="R296" s="175">
        <f>+R297</f>
        <v>0</v>
      </c>
      <c r="S296" s="175">
        <f t="shared" ref="S296" si="306">+S297</f>
        <v>0</v>
      </c>
      <c r="T296" s="175">
        <f>+T297</f>
        <v>0</v>
      </c>
      <c r="U296" s="176"/>
      <c r="V296" s="176"/>
      <c r="W296" s="170"/>
      <c r="X296" s="175">
        <f t="shared" ref="X296:AI296" si="307">+X297</f>
        <v>0</v>
      </c>
      <c r="Y296" s="175">
        <f t="shared" si="307"/>
        <v>0</v>
      </c>
      <c r="Z296" s="175">
        <f t="shared" si="307"/>
        <v>0</v>
      </c>
      <c r="AA296" s="175">
        <f t="shared" si="307"/>
        <v>0</v>
      </c>
      <c r="AB296" s="175">
        <f t="shared" si="307"/>
        <v>0</v>
      </c>
      <c r="AC296" s="175">
        <f t="shared" si="307"/>
        <v>0</v>
      </c>
      <c r="AD296" s="175">
        <f t="shared" si="307"/>
        <v>0</v>
      </c>
      <c r="AE296" s="175">
        <f t="shared" si="307"/>
        <v>0</v>
      </c>
      <c r="AF296" s="175">
        <f t="shared" si="307"/>
        <v>0</v>
      </c>
      <c r="AG296" s="175">
        <f t="shared" si="307"/>
        <v>0</v>
      </c>
      <c r="AH296" s="175">
        <f t="shared" si="307"/>
        <v>0</v>
      </c>
      <c r="AI296" s="175">
        <f t="shared" si="307"/>
        <v>0</v>
      </c>
      <c r="AJ296" s="593">
        <v>0</v>
      </c>
    </row>
    <row r="297" spans="2:36" x14ac:dyDescent="0.2">
      <c r="B297" s="80" t="s">
        <v>105516</v>
      </c>
      <c r="C297" s="80" t="s">
        <v>105924</v>
      </c>
      <c r="D297" s="80" t="s">
        <v>105520</v>
      </c>
      <c r="E297" s="80" t="s">
        <v>105573</v>
      </c>
      <c r="F297" s="81" t="s">
        <v>105556</v>
      </c>
      <c r="G297" s="81" t="s">
        <v>105541</v>
      </c>
      <c r="H297" s="81" t="s">
        <v>106109</v>
      </c>
      <c r="I297" s="80"/>
      <c r="J297" s="416"/>
      <c r="K297" s="80"/>
      <c r="L297" s="436"/>
      <c r="M297" s="304" t="s">
        <v>107204</v>
      </c>
      <c r="N297" s="83"/>
      <c r="O297" s="83" t="s">
        <v>112995</v>
      </c>
      <c r="P297" s="84"/>
      <c r="Q297" s="84"/>
      <c r="R297" s="85">
        <f>R298</f>
        <v>0</v>
      </c>
      <c r="S297" s="85">
        <f t="shared" ref="S297" si="308">S298</f>
        <v>0</v>
      </c>
      <c r="T297" s="85">
        <f>T298</f>
        <v>0</v>
      </c>
      <c r="U297" s="86"/>
      <c r="V297" s="86"/>
      <c r="W297" s="341"/>
      <c r="X297" s="85">
        <f t="shared" ref="X297:AI297" si="309">X298</f>
        <v>0</v>
      </c>
      <c r="Y297" s="85">
        <f t="shared" si="309"/>
        <v>0</v>
      </c>
      <c r="Z297" s="85">
        <f t="shared" si="309"/>
        <v>0</v>
      </c>
      <c r="AA297" s="85">
        <f t="shared" si="309"/>
        <v>0</v>
      </c>
      <c r="AB297" s="85">
        <f t="shared" si="309"/>
        <v>0</v>
      </c>
      <c r="AC297" s="85">
        <f t="shared" si="309"/>
        <v>0</v>
      </c>
      <c r="AD297" s="85">
        <f t="shared" si="309"/>
        <v>0</v>
      </c>
      <c r="AE297" s="85">
        <f t="shared" si="309"/>
        <v>0</v>
      </c>
      <c r="AF297" s="85">
        <f t="shared" si="309"/>
        <v>0</v>
      </c>
      <c r="AG297" s="85">
        <f t="shared" si="309"/>
        <v>0</v>
      </c>
      <c r="AH297" s="85">
        <f t="shared" si="309"/>
        <v>0</v>
      </c>
      <c r="AI297" s="85">
        <f t="shared" si="309"/>
        <v>0</v>
      </c>
      <c r="AJ297" s="593">
        <v>0</v>
      </c>
    </row>
    <row r="298" spans="2:36" ht="60" x14ac:dyDescent="0.2">
      <c r="B298" s="88"/>
      <c r="C298" s="89"/>
      <c r="D298" s="89"/>
      <c r="E298" s="89"/>
      <c r="F298" s="89"/>
      <c r="G298" s="89"/>
      <c r="H298" s="89"/>
      <c r="I298" s="89"/>
      <c r="J298" s="89"/>
      <c r="K298" s="96" t="s">
        <v>112664</v>
      </c>
      <c r="L298" s="91" t="s">
        <v>113306</v>
      </c>
      <c r="M298" s="92" t="s">
        <v>113740</v>
      </c>
      <c r="N298" s="93">
        <v>45444</v>
      </c>
      <c r="O298" s="93" t="s">
        <v>113010</v>
      </c>
      <c r="P298" s="94" t="s">
        <v>113007</v>
      </c>
      <c r="Q298" s="94" t="s">
        <v>113052</v>
      </c>
      <c r="R298" s="95">
        <f>20000000-15134000-4866000</f>
        <v>0</v>
      </c>
      <c r="S298" s="104">
        <v>0</v>
      </c>
      <c r="T298" s="97">
        <v>0</v>
      </c>
      <c r="U298" s="96"/>
      <c r="V298" s="95"/>
      <c r="W298" s="96"/>
      <c r="X298" s="603">
        <v>0</v>
      </c>
      <c r="Y298" s="603">
        <v>0</v>
      </c>
      <c r="Z298" s="603">
        <v>0</v>
      </c>
      <c r="AA298" s="603">
        <v>0</v>
      </c>
      <c r="AB298" s="603">
        <v>0</v>
      </c>
      <c r="AC298" s="603">
        <v>0</v>
      </c>
      <c r="AD298" s="603">
        <v>0</v>
      </c>
      <c r="AE298" s="603">
        <v>0</v>
      </c>
      <c r="AF298" s="603">
        <v>0</v>
      </c>
      <c r="AG298" s="603">
        <v>0</v>
      </c>
      <c r="AH298" s="603">
        <v>0</v>
      </c>
      <c r="AI298" s="603">
        <v>0</v>
      </c>
      <c r="AJ298" s="593">
        <v>0</v>
      </c>
    </row>
    <row r="299" spans="2:36" ht="15.75" x14ac:dyDescent="0.2">
      <c r="B299" s="208" t="s">
        <v>105516</v>
      </c>
      <c r="C299" s="208" t="s">
        <v>106103</v>
      </c>
      <c r="D299" s="208"/>
      <c r="E299" s="208"/>
      <c r="F299" s="208"/>
      <c r="G299" s="208"/>
      <c r="H299" s="208"/>
      <c r="I299" s="208"/>
      <c r="J299" s="426"/>
      <c r="K299" s="404"/>
      <c r="L299" s="210"/>
      <c r="M299" s="211" t="s">
        <v>112750</v>
      </c>
      <c r="N299" s="212"/>
      <c r="O299" s="212" t="s">
        <v>112995</v>
      </c>
      <c r="P299" s="213"/>
      <c r="Q299" s="213"/>
      <c r="R299" s="214">
        <f>SUM(R300+R303)</f>
        <v>230000000</v>
      </c>
      <c r="S299" s="214">
        <f t="shared" ref="S299" si="310">SUM(S300+S303)</f>
        <v>5800000000</v>
      </c>
      <c r="T299" s="485">
        <f>T300+T303</f>
        <v>1978000000</v>
      </c>
      <c r="U299" s="215"/>
      <c r="V299" s="215"/>
      <c r="W299" s="404"/>
      <c r="X299" s="214">
        <f t="shared" ref="X299:Y299" si="311">SUM(X300+X303)</f>
        <v>0</v>
      </c>
      <c r="Y299" s="214">
        <f t="shared" si="311"/>
        <v>0</v>
      </c>
      <c r="Z299" s="214">
        <f t="shared" ref="Z299:AC299" si="312">SUM(Z300+Z303)</f>
        <v>0</v>
      </c>
      <c r="AA299" s="214">
        <f t="shared" si="312"/>
        <v>0</v>
      </c>
      <c r="AB299" s="214">
        <f t="shared" si="312"/>
        <v>0</v>
      </c>
      <c r="AC299" s="214">
        <f t="shared" si="312"/>
        <v>0</v>
      </c>
      <c r="AD299" s="214">
        <f t="shared" ref="AD299:AI299" si="313">SUM(AD300+AD303)</f>
        <v>0</v>
      </c>
      <c r="AE299" s="214">
        <f t="shared" si="313"/>
        <v>0</v>
      </c>
      <c r="AF299" s="214">
        <f t="shared" si="313"/>
        <v>0</v>
      </c>
      <c r="AG299" s="214">
        <f t="shared" si="313"/>
        <v>0</v>
      </c>
      <c r="AH299" s="214">
        <f t="shared" si="313"/>
        <v>0</v>
      </c>
      <c r="AI299" s="214">
        <f t="shared" si="313"/>
        <v>0</v>
      </c>
      <c r="AJ299" s="214">
        <f t="shared" ref="AJ299:AJ317" si="314">SUM(X299:AI299)-S299</f>
        <v>-5800000000</v>
      </c>
    </row>
    <row r="300" spans="2:36" ht="15.75" x14ac:dyDescent="0.2">
      <c r="B300" s="217" t="s">
        <v>105516</v>
      </c>
      <c r="C300" s="217" t="s">
        <v>106103</v>
      </c>
      <c r="D300" s="217" t="s">
        <v>105520</v>
      </c>
      <c r="E300" s="217"/>
      <c r="F300" s="217"/>
      <c r="G300" s="217"/>
      <c r="H300" s="217"/>
      <c r="I300" s="217"/>
      <c r="J300" s="427"/>
      <c r="K300" s="217"/>
      <c r="L300" s="218"/>
      <c r="M300" s="219" t="s">
        <v>112752</v>
      </c>
      <c r="N300" s="220"/>
      <c r="O300" s="220" t="s">
        <v>112995</v>
      </c>
      <c r="P300" s="221"/>
      <c r="Q300" s="221"/>
      <c r="R300" s="222">
        <f>R301+R302</f>
        <v>230000000</v>
      </c>
      <c r="S300" s="222">
        <f t="shared" ref="S300" si="315">S301+S302</f>
        <v>200000000</v>
      </c>
      <c r="T300" s="486">
        <v>158000000</v>
      </c>
      <c r="U300" s="223"/>
      <c r="V300" s="223"/>
      <c r="W300" s="217"/>
      <c r="X300" s="222">
        <f t="shared" ref="X300:Y300" si="316">X301+X302</f>
        <v>0</v>
      </c>
      <c r="Y300" s="222">
        <f t="shared" si="316"/>
        <v>0</v>
      </c>
      <c r="Z300" s="222">
        <f t="shared" ref="Z300:AC300" si="317">Z301+Z302</f>
        <v>0</v>
      </c>
      <c r="AA300" s="222">
        <f t="shared" si="317"/>
        <v>0</v>
      </c>
      <c r="AB300" s="222">
        <f t="shared" si="317"/>
        <v>0</v>
      </c>
      <c r="AC300" s="222">
        <f t="shared" si="317"/>
        <v>0</v>
      </c>
      <c r="AD300" s="222">
        <f t="shared" ref="AD300:AI300" si="318">AD301+AD302</f>
        <v>0</v>
      </c>
      <c r="AE300" s="222">
        <f t="shared" si="318"/>
        <v>0</v>
      </c>
      <c r="AF300" s="222">
        <f t="shared" si="318"/>
        <v>0</v>
      </c>
      <c r="AG300" s="222">
        <f t="shared" si="318"/>
        <v>0</v>
      </c>
      <c r="AH300" s="222">
        <f t="shared" si="318"/>
        <v>0</v>
      </c>
      <c r="AI300" s="222">
        <f t="shared" si="318"/>
        <v>0</v>
      </c>
      <c r="AJ300" s="222">
        <f t="shared" si="314"/>
        <v>-200000000</v>
      </c>
    </row>
    <row r="301" spans="2:36" ht="15.75" x14ac:dyDescent="0.2">
      <c r="B301" s="225"/>
      <c r="C301" s="226"/>
      <c r="D301" s="226"/>
      <c r="E301" s="226"/>
      <c r="F301" s="226"/>
      <c r="G301" s="226"/>
      <c r="H301" s="226"/>
      <c r="I301" s="226"/>
      <c r="J301" s="226"/>
      <c r="K301" s="96" t="s">
        <v>112751</v>
      </c>
      <c r="L301" s="127"/>
      <c r="M301" s="102" t="s">
        <v>112754</v>
      </c>
      <c r="N301" s="94" t="s">
        <v>113031</v>
      </c>
      <c r="O301" s="94" t="s">
        <v>113031</v>
      </c>
      <c r="P301" s="94" t="s">
        <v>113031</v>
      </c>
      <c r="Q301" s="94" t="s">
        <v>113031</v>
      </c>
      <c r="R301" s="95">
        <v>150000000</v>
      </c>
      <c r="S301" s="571">
        <v>120000000</v>
      </c>
      <c r="T301" s="472">
        <v>60000000</v>
      </c>
      <c r="U301" s="96"/>
      <c r="V301" s="201"/>
      <c r="W301" s="398" t="s">
        <v>113012</v>
      </c>
      <c r="X301" s="600"/>
      <c r="Y301" s="600"/>
      <c r="Z301" s="600"/>
      <c r="AA301" s="600"/>
      <c r="AB301" s="600"/>
      <c r="AC301" s="600"/>
      <c r="AD301" s="600"/>
      <c r="AE301" s="600"/>
      <c r="AF301" s="600"/>
      <c r="AG301" s="600"/>
      <c r="AH301" s="600"/>
      <c r="AI301" s="600"/>
      <c r="AJ301" s="593">
        <v>0</v>
      </c>
    </row>
    <row r="302" spans="2:36" ht="15.75" x14ac:dyDescent="0.2">
      <c r="B302" s="225"/>
      <c r="C302" s="226"/>
      <c r="D302" s="226"/>
      <c r="E302" s="226"/>
      <c r="F302" s="226"/>
      <c r="G302" s="226"/>
      <c r="H302" s="226"/>
      <c r="I302" s="226"/>
      <c r="J302" s="226"/>
      <c r="K302" s="96" t="s">
        <v>112751</v>
      </c>
      <c r="L302" s="127"/>
      <c r="M302" s="102" t="s">
        <v>112756</v>
      </c>
      <c r="N302" s="94" t="s">
        <v>113031</v>
      </c>
      <c r="O302" s="94" t="s">
        <v>113031</v>
      </c>
      <c r="P302" s="94" t="s">
        <v>113031</v>
      </c>
      <c r="Q302" s="94" t="s">
        <v>113031</v>
      </c>
      <c r="R302" s="95">
        <v>80000000</v>
      </c>
      <c r="S302" s="571">
        <v>80000000</v>
      </c>
      <c r="T302" s="472">
        <v>98000000</v>
      </c>
      <c r="U302" s="96"/>
      <c r="V302" s="201"/>
      <c r="W302" s="398" t="s">
        <v>113012</v>
      </c>
      <c r="X302" s="600"/>
      <c r="Y302" s="600"/>
      <c r="Z302" s="600"/>
      <c r="AA302" s="600"/>
      <c r="AB302" s="600"/>
      <c r="AC302" s="600"/>
      <c r="AD302" s="600"/>
      <c r="AE302" s="600"/>
      <c r="AF302" s="600"/>
      <c r="AG302" s="600"/>
      <c r="AH302" s="600"/>
      <c r="AI302" s="600"/>
      <c r="AJ302" s="593">
        <v>0</v>
      </c>
    </row>
    <row r="303" spans="2:36" ht="15.75" x14ac:dyDescent="0.2">
      <c r="B303" s="217" t="s">
        <v>105516</v>
      </c>
      <c r="C303" s="217" t="s">
        <v>106103</v>
      </c>
      <c r="D303" s="217" t="s">
        <v>105675</v>
      </c>
      <c r="E303" s="217"/>
      <c r="F303" s="217"/>
      <c r="G303" s="217"/>
      <c r="H303" s="217"/>
      <c r="I303" s="217"/>
      <c r="J303" s="427"/>
      <c r="K303" s="217"/>
      <c r="L303" s="218"/>
      <c r="M303" s="219" t="s">
        <v>112762</v>
      </c>
      <c r="N303" s="220"/>
      <c r="O303" s="220" t="s">
        <v>112995</v>
      </c>
      <c r="P303" s="221"/>
      <c r="Q303" s="221"/>
      <c r="R303" s="222">
        <f>+R304</f>
        <v>0</v>
      </c>
      <c r="S303" s="367">
        <f>+S304</f>
        <v>5600000000</v>
      </c>
      <c r="T303" s="486">
        <v>1820000000</v>
      </c>
      <c r="U303" s="223"/>
      <c r="V303" s="223"/>
      <c r="W303" s="217"/>
      <c r="X303" s="367">
        <f t="shared" ref="X303:AI303" si="319">+X304</f>
        <v>0</v>
      </c>
      <c r="Y303" s="367">
        <f t="shared" si="319"/>
        <v>0</v>
      </c>
      <c r="Z303" s="367">
        <f t="shared" si="319"/>
        <v>0</v>
      </c>
      <c r="AA303" s="367">
        <f t="shared" si="319"/>
        <v>0</v>
      </c>
      <c r="AB303" s="367">
        <f t="shared" si="319"/>
        <v>0</v>
      </c>
      <c r="AC303" s="367">
        <f t="shared" si="319"/>
        <v>0</v>
      </c>
      <c r="AD303" s="367">
        <f t="shared" si="319"/>
        <v>0</v>
      </c>
      <c r="AE303" s="367">
        <f t="shared" si="319"/>
        <v>0</v>
      </c>
      <c r="AF303" s="367">
        <f t="shared" si="319"/>
        <v>0</v>
      </c>
      <c r="AG303" s="367">
        <f t="shared" si="319"/>
        <v>0</v>
      </c>
      <c r="AH303" s="367">
        <f t="shared" si="319"/>
        <v>0</v>
      </c>
      <c r="AI303" s="367">
        <f t="shared" si="319"/>
        <v>0</v>
      </c>
      <c r="AJ303" s="367">
        <f t="shared" si="314"/>
        <v>-5600000000</v>
      </c>
    </row>
    <row r="304" spans="2:36" ht="15.75" x14ac:dyDescent="0.2">
      <c r="B304" s="225"/>
      <c r="C304" s="226"/>
      <c r="D304" s="226"/>
      <c r="E304" s="226"/>
      <c r="F304" s="226"/>
      <c r="G304" s="226"/>
      <c r="H304" s="226"/>
      <c r="I304" s="226"/>
      <c r="J304" s="226"/>
      <c r="K304" s="96" t="s">
        <v>112761</v>
      </c>
      <c r="L304" s="127"/>
      <c r="M304" s="102" t="s">
        <v>113815</v>
      </c>
      <c r="N304" s="94"/>
      <c r="O304" s="94"/>
      <c r="P304" s="94"/>
      <c r="Q304" s="94"/>
      <c r="R304" s="95"/>
      <c r="S304" s="571">
        <v>5600000000</v>
      </c>
      <c r="T304" s="472"/>
      <c r="U304" s="96"/>
      <c r="V304" s="201"/>
      <c r="W304" s="200"/>
      <c r="X304" s="600"/>
      <c r="Y304" s="600"/>
      <c r="Z304" s="600"/>
      <c r="AA304" s="600"/>
      <c r="AB304" s="600"/>
      <c r="AC304" s="600"/>
      <c r="AD304" s="600"/>
      <c r="AE304" s="600"/>
      <c r="AF304" s="600"/>
      <c r="AG304" s="600"/>
      <c r="AH304" s="600"/>
      <c r="AI304" s="600"/>
      <c r="AJ304" s="593">
        <v>0</v>
      </c>
    </row>
    <row r="305" spans="2:36" ht="15.75" x14ac:dyDescent="0.2">
      <c r="B305" s="229" t="s">
        <v>105516</v>
      </c>
      <c r="C305" s="229" t="s">
        <v>106106</v>
      </c>
      <c r="D305" s="229"/>
      <c r="E305" s="229"/>
      <c r="F305" s="229"/>
      <c r="G305" s="229"/>
      <c r="H305" s="229"/>
      <c r="I305" s="229"/>
      <c r="J305" s="428"/>
      <c r="K305" s="405"/>
      <c r="L305" s="231"/>
      <c r="M305" s="232" t="s">
        <v>112766</v>
      </c>
      <c r="N305" s="233"/>
      <c r="O305" s="233" t="s">
        <v>112995</v>
      </c>
      <c r="P305" s="234"/>
      <c r="Q305" s="234"/>
      <c r="R305" s="235">
        <f>SUM(R306+R314+R317)</f>
        <v>3804214242</v>
      </c>
      <c r="S305" s="235">
        <f t="shared" ref="S305" si="320">SUM(S306+S314+S317)</f>
        <v>4535000000</v>
      </c>
      <c r="T305" s="487">
        <f>T306+T314+T317</f>
        <v>3821000000</v>
      </c>
      <c r="U305" s="236"/>
      <c r="V305" s="236"/>
      <c r="W305" s="405"/>
      <c r="X305" s="235">
        <f t="shared" ref="X305:Y305" si="321">SUM(X306+X314+X317)</f>
        <v>0</v>
      </c>
      <c r="Y305" s="235">
        <f t="shared" si="321"/>
        <v>3200000000</v>
      </c>
      <c r="Z305" s="235">
        <f t="shared" ref="Z305:AC305" si="322">SUM(Z306+Z314+Z317)</f>
        <v>600000000</v>
      </c>
      <c r="AA305" s="235">
        <f t="shared" si="322"/>
        <v>0</v>
      </c>
      <c r="AB305" s="235">
        <f t="shared" si="322"/>
        <v>0</v>
      </c>
      <c r="AC305" s="235">
        <f t="shared" si="322"/>
        <v>0</v>
      </c>
      <c r="AD305" s="235">
        <f t="shared" ref="AD305:AI305" si="323">SUM(AD306+AD314+AD317)</f>
        <v>0</v>
      </c>
      <c r="AE305" s="235">
        <f t="shared" si="323"/>
        <v>0</v>
      </c>
      <c r="AF305" s="235">
        <f t="shared" si="323"/>
        <v>0</v>
      </c>
      <c r="AG305" s="235">
        <f t="shared" si="323"/>
        <v>0</v>
      </c>
      <c r="AH305" s="235">
        <f t="shared" si="323"/>
        <v>0</v>
      </c>
      <c r="AI305" s="235">
        <f t="shared" si="323"/>
        <v>0</v>
      </c>
      <c r="AJ305" s="235">
        <f t="shared" si="314"/>
        <v>-735000000</v>
      </c>
    </row>
    <row r="306" spans="2:36" ht="15.75" x14ac:dyDescent="0.2">
      <c r="B306" s="238" t="s">
        <v>105516</v>
      </c>
      <c r="C306" s="238" t="s">
        <v>106106</v>
      </c>
      <c r="D306" s="238" t="s">
        <v>105520</v>
      </c>
      <c r="E306" s="238"/>
      <c r="F306" s="238"/>
      <c r="G306" s="238"/>
      <c r="H306" s="238"/>
      <c r="I306" s="238"/>
      <c r="J306" s="429"/>
      <c r="K306" s="238"/>
      <c r="L306" s="239"/>
      <c r="M306" s="240" t="s">
        <v>112768</v>
      </c>
      <c r="N306" s="241"/>
      <c r="O306" s="241" t="s">
        <v>112995</v>
      </c>
      <c r="P306" s="242"/>
      <c r="Q306" s="242"/>
      <c r="R306" s="243">
        <f>+R307</f>
        <v>3804214242</v>
      </c>
      <c r="S306" s="243">
        <f t="shared" ref="S306" si="324">+S307</f>
        <v>4100000000</v>
      </c>
      <c r="T306" s="488">
        <f>T307</f>
        <v>3586000000</v>
      </c>
      <c r="U306" s="244"/>
      <c r="V306" s="244"/>
      <c r="W306" s="238"/>
      <c r="X306" s="243">
        <f t="shared" ref="X306:AI306" si="325">+X307</f>
        <v>0</v>
      </c>
      <c r="Y306" s="243">
        <f t="shared" si="325"/>
        <v>3200000000</v>
      </c>
      <c r="Z306" s="243">
        <f t="shared" si="325"/>
        <v>600000000</v>
      </c>
      <c r="AA306" s="243">
        <f t="shared" si="325"/>
        <v>0</v>
      </c>
      <c r="AB306" s="243">
        <f t="shared" si="325"/>
        <v>0</v>
      </c>
      <c r="AC306" s="243">
        <f t="shared" si="325"/>
        <v>0</v>
      </c>
      <c r="AD306" s="243">
        <f t="shared" si="325"/>
        <v>0</v>
      </c>
      <c r="AE306" s="243">
        <f t="shared" si="325"/>
        <v>0</v>
      </c>
      <c r="AF306" s="243">
        <f t="shared" si="325"/>
        <v>0</v>
      </c>
      <c r="AG306" s="243">
        <f t="shared" si="325"/>
        <v>0</v>
      </c>
      <c r="AH306" s="243">
        <f t="shared" si="325"/>
        <v>0</v>
      </c>
      <c r="AI306" s="243">
        <f t="shared" si="325"/>
        <v>0</v>
      </c>
      <c r="AJ306" s="243">
        <f t="shared" si="314"/>
        <v>-300000000</v>
      </c>
    </row>
    <row r="307" spans="2:36" x14ac:dyDescent="0.2">
      <c r="B307" s="246" t="s">
        <v>105516</v>
      </c>
      <c r="C307" s="246" t="s">
        <v>106106</v>
      </c>
      <c r="D307" s="246" t="s">
        <v>105520</v>
      </c>
      <c r="E307" s="246" t="s">
        <v>105573</v>
      </c>
      <c r="F307" s="246"/>
      <c r="G307" s="246"/>
      <c r="H307" s="246"/>
      <c r="I307" s="246"/>
      <c r="J307" s="430"/>
      <c r="K307" s="246"/>
      <c r="L307" s="247"/>
      <c r="M307" s="248" t="s">
        <v>112780</v>
      </c>
      <c r="N307" s="249"/>
      <c r="O307" s="249" t="s">
        <v>112995</v>
      </c>
      <c r="P307" s="250"/>
      <c r="Q307" s="250"/>
      <c r="R307" s="251">
        <f>+R308+R310+R312</f>
        <v>3804214242</v>
      </c>
      <c r="S307" s="251">
        <f t="shared" ref="S307" si="326">+S308+S310+S312</f>
        <v>4100000000</v>
      </c>
      <c r="T307" s="489">
        <f>T308+T310+T312</f>
        <v>3586000000</v>
      </c>
      <c r="U307" s="252"/>
      <c r="V307" s="252"/>
      <c r="W307" s="246"/>
      <c r="X307" s="251">
        <f t="shared" ref="X307:Y307" si="327">+X308+X310+X312</f>
        <v>0</v>
      </c>
      <c r="Y307" s="251">
        <f t="shared" si="327"/>
        <v>3200000000</v>
      </c>
      <c r="Z307" s="251">
        <f t="shared" ref="Z307:AC307" si="328">+Z308+Z310+Z312</f>
        <v>600000000</v>
      </c>
      <c r="AA307" s="251">
        <f t="shared" si="328"/>
        <v>0</v>
      </c>
      <c r="AB307" s="251">
        <f t="shared" si="328"/>
        <v>0</v>
      </c>
      <c r="AC307" s="251">
        <f t="shared" si="328"/>
        <v>0</v>
      </c>
      <c r="AD307" s="251">
        <f t="shared" ref="AD307:AI307" si="329">+AD308+AD310+AD312</f>
        <v>0</v>
      </c>
      <c r="AE307" s="251">
        <f t="shared" si="329"/>
        <v>0</v>
      </c>
      <c r="AF307" s="251">
        <f t="shared" si="329"/>
        <v>0</v>
      </c>
      <c r="AG307" s="251">
        <f t="shared" si="329"/>
        <v>0</v>
      </c>
      <c r="AH307" s="251">
        <f t="shared" si="329"/>
        <v>0</v>
      </c>
      <c r="AI307" s="251">
        <f t="shared" si="329"/>
        <v>0</v>
      </c>
      <c r="AJ307" s="593">
        <v>0</v>
      </c>
    </row>
    <row r="308" spans="2:36" x14ac:dyDescent="0.2">
      <c r="B308" s="254" t="s">
        <v>105516</v>
      </c>
      <c r="C308" s="254" t="s">
        <v>106106</v>
      </c>
      <c r="D308" s="254" t="s">
        <v>105520</v>
      </c>
      <c r="E308" s="254" t="s">
        <v>105573</v>
      </c>
      <c r="F308" s="254" t="s">
        <v>105528</v>
      </c>
      <c r="G308" s="254"/>
      <c r="H308" s="254"/>
      <c r="I308" s="254"/>
      <c r="J308" s="431"/>
      <c r="K308" s="254"/>
      <c r="L308" s="65"/>
      <c r="M308" s="66" t="s">
        <v>113160</v>
      </c>
      <c r="N308" s="67"/>
      <c r="O308" s="67" t="s">
        <v>112995</v>
      </c>
      <c r="P308" s="68"/>
      <c r="Q308" s="68"/>
      <c r="R308" s="69">
        <f>+R309</f>
        <v>3804214242</v>
      </c>
      <c r="S308" s="69">
        <f t="shared" ref="S308" si="330">+S309</f>
        <v>3800000000</v>
      </c>
      <c r="T308" s="469">
        <v>3492000000</v>
      </c>
      <c r="U308" s="70"/>
      <c r="V308" s="70"/>
      <c r="W308" s="254"/>
      <c r="X308" s="69">
        <f t="shared" ref="X308:AI308" si="331">+X309</f>
        <v>0</v>
      </c>
      <c r="Y308" s="69">
        <f t="shared" si="331"/>
        <v>3200000000</v>
      </c>
      <c r="Z308" s="69">
        <f t="shared" si="331"/>
        <v>600000000</v>
      </c>
      <c r="AA308" s="69">
        <f t="shared" si="331"/>
        <v>0</v>
      </c>
      <c r="AB308" s="69">
        <f t="shared" si="331"/>
        <v>0</v>
      </c>
      <c r="AC308" s="69">
        <f t="shared" si="331"/>
        <v>0</v>
      </c>
      <c r="AD308" s="69">
        <f t="shared" si="331"/>
        <v>0</v>
      </c>
      <c r="AE308" s="69">
        <f t="shared" si="331"/>
        <v>0</v>
      </c>
      <c r="AF308" s="69">
        <f t="shared" si="331"/>
        <v>0</v>
      </c>
      <c r="AG308" s="69">
        <f t="shared" si="331"/>
        <v>0</v>
      </c>
      <c r="AH308" s="69">
        <f t="shared" si="331"/>
        <v>0</v>
      </c>
      <c r="AI308" s="69">
        <f t="shared" si="331"/>
        <v>0</v>
      </c>
      <c r="AJ308" s="593">
        <v>0</v>
      </c>
    </row>
    <row r="309" spans="2:36" x14ac:dyDescent="0.2">
      <c r="B309" s="88"/>
      <c r="C309" s="89"/>
      <c r="D309" s="89"/>
      <c r="E309" s="89"/>
      <c r="F309" s="89"/>
      <c r="G309" s="89"/>
      <c r="H309" s="89"/>
      <c r="I309" s="89"/>
      <c r="J309" s="89"/>
      <c r="K309" s="96" t="s">
        <v>112781</v>
      </c>
      <c r="L309" s="255"/>
      <c r="M309" s="92" t="s">
        <v>112782</v>
      </c>
      <c r="N309" s="94"/>
      <c r="O309" s="94"/>
      <c r="P309" s="94"/>
      <c r="Q309" s="94"/>
      <c r="R309" s="205">
        <v>3804214242</v>
      </c>
      <c r="S309" s="205">
        <v>3800000000</v>
      </c>
      <c r="T309" s="205">
        <f>3492000000-15256052</f>
        <v>3476743948</v>
      </c>
      <c r="U309" s="96"/>
      <c r="V309" s="256"/>
      <c r="W309" s="200"/>
      <c r="X309" s="604">
        <v>0</v>
      </c>
      <c r="Y309" s="604">
        <v>3200000000</v>
      </c>
      <c r="Z309" s="604">
        <v>600000000</v>
      </c>
      <c r="AA309" s="604"/>
      <c r="AB309" s="604"/>
      <c r="AC309" s="604"/>
      <c r="AD309" s="604"/>
      <c r="AE309" s="604"/>
      <c r="AF309" s="604"/>
      <c r="AG309" s="604"/>
      <c r="AH309" s="604"/>
      <c r="AI309" s="604"/>
      <c r="AJ309" s="593">
        <v>0</v>
      </c>
    </row>
    <row r="310" spans="2:36" x14ac:dyDescent="0.2">
      <c r="B310" s="254" t="s">
        <v>105516</v>
      </c>
      <c r="C310" s="254" t="s">
        <v>106106</v>
      </c>
      <c r="D310" s="254" t="s">
        <v>105520</v>
      </c>
      <c r="E310" s="254" t="s">
        <v>105573</v>
      </c>
      <c r="F310" s="254" t="s">
        <v>105538</v>
      </c>
      <c r="G310" s="254"/>
      <c r="H310" s="254"/>
      <c r="I310" s="254"/>
      <c r="J310" s="431"/>
      <c r="K310" s="254"/>
      <c r="L310" s="65"/>
      <c r="M310" s="66" t="s">
        <v>112786</v>
      </c>
      <c r="N310" s="67"/>
      <c r="O310" s="67" t="s">
        <v>112995</v>
      </c>
      <c r="P310" s="68"/>
      <c r="Q310" s="68"/>
      <c r="R310" s="69">
        <f>+R311</f>
        <v>0</v>
      </c>
      <c r="S310" s="69">
        <f t="shared" ref="S310" si="332">+S311</f>
        <v>296000000</v>
      </c>
      <c r="T310" s="469">
        <v>90000000</v>
      </c>
      <c r="U310" s="70"/>
      <c r="V310" s="70"/>
      <c r="W310" s="254"/>
      <c r="X310" s="69">
        <f t="shared" ref="X310:AI310" si="333">+X311</f>
        <v>0</v>
      </c>
      <c r="Y310" s="69">
        <f t="shared" si="333"/>
        <v>0</v>
      </c>
      <c r="Z310" s="69">
        <f t="shared" si="333"/>
        <v>0</v>
      </c>
      <c r="AA310" s="69">
        <f t="shared" si="333"/>
        <v>0</v>
      </c>
      <c r="AB310" s="69">
        <f t="shared" si="333"/>
        <v>0</v>
      </c>
      <c r="AC310" s="69">
        <f t="shared" si="333"/>
        <v>0</v>
      </c>
      <c r="AD310" s="69">
        <f t="shared" si="333"/>
        <v>0</v>
      </c>
      <c r="AE310" s="69">
        <f t="shared" si="333"/>
        <v>0</v>
      </c>
      <c r="AF310" s="69">
        <f t="shared" si="333"/>
        <v>0</v>
      </c>
      <c r="AG310" s="69">
        <f t="shared" si="333"/>
        <v>0</v>
      </c>
      <c r="AH310" s="69">
        <f t="shared" si="333"/>
        <v>0</v>
      </c>
      <c r="AI310" s="69">
        <f t="shared" si="333"/>
        <v>0</v>
      </c>
      <c r="AJ310" s="593">
        <v>0</v>
      </c>
    </row>
    <row r="311" spans="2:36" x14ac:dyDescent="0.2">
      <c r="B311" s="88"/>
      <c r="C311" s="89"/>
      <c r="D311" s="89"/>
      <c r="E311" s="89"/>
      <c r="F311" s="89"/>
      <c r="G311" s="89"/>
      <c r="H311" s="89"/>
      <c r="I311" s="89"/>
      <c r="J311" s="89"/>
      <c r="K311" s="96" t="s">
        <v>112785</v>
      </c>
      <c r="L311" s="127"/>
      <c r="M311" s="92"/>
      <c r="N311" s="94"/>
      <c r="O311" s="94"/>
      <c r="P311" s="94"/>
      <c r="Q311" s="94"/>
      <c r="R311" s="95"/>
      <c r="S311" s="571">
        <v>296000000</v>
      </c>
      <c r="T311" s="472"/>
      <c r="U311" s="96"/>
      <c r="V311" s="97"/>
      <c r="W311" s="96"/>
      <c r="X311" s="600"/>
      <c r="Y311" s="600"/>
      <c r="Z311" s="600"/>
      <c r="AA311" s="600"/>
      <c r="AB311" s="600"/>
      <c r="AC311" s="600"/>
      <c r="AD311" s="600"/>
      <c r="AE311" s="600"/>
      <c r="AF311" s="600"/>
      <c r="AG311" s="600"/>
      <c r="AH311" s="600"/>
      <c r="AI311" s="600"/>
      <c r="AJ311" s="593">
        <v>0</v>
      </c>
    </row>
    <row r="312" spans="2:36" x14ac:dyDescent="0.2">
      <c r="B312" s="254" t="s">
        <v>105516</v>
      </c>
      <c r="C312" s="254" t="s">
        <v>106106</v>
      </c>
      <c r="D312" s="254" t="s">
        <v>105520</v>
      </c>
      <c r="E312" s="254" t="s">
        <v>105573</v>
      </c>
      <c r="F312" s="254" t="s">
        <v>105547</v>
      </c>
      <c r="G312" s="254"/>
      <c r="H312" s="254"/>
      <c r="I312" s="254"/>
      <c r="J312" s="431"/>
      <c r="K312" s="254"/>
      <c r="L312" s="65"/>
      <c r="M312" s="66" t="s">
        <v>112792</v>
      </c>
      <c r="N312" s="67"/>
      <c r="O312" s="67" t="s">
        <v>112995</v>
      </c>
      <c r="P312" s="68"/>
      <c r="Q312" s="68"/>
      <c r="R312" s="69">
        <f>+R313</f>
        <v>0</v>
      </c>
      <c r="S312" s="69">
        <f t="shared" ref="S312" si="334">+S313</f>
        <v>4000000</v>
      </c>
      <c r="T312" s="469">
        <v>4000000</v>
      </c>
      <c r="U312" s="70"/>
      <c r="V312" s="70"/>
      <c r="W312" s="254"/>
      <c r="X312" s="69">
        <f t="shared" ref="X312:AI312" si="335">+X313</f>
        <v>0</v>
      </c>
      <c r="Y312" s="69">
        <f t="shared" si="335"/>
        <v>0</v>
      </c>
      <c r="Z312" s="69">
        <f t="shared" si="335"/>
        <v>0</v>
      </c>
      <c r="AA312" s="69">
        <f t="shared" si="335"/>
        <v>0</v>
      </c>
      <c r="AB312" s="69">
        <f t="shared" si="335"/>
        <v>0</v>
      </c>
      <c r="AC312" s="69">
        <f t="shared" si="335"/>
        <v>0</v>
      </c>
      <c r="AD312" s="69">
        <f t="shared" si="335"/>
        <v>0</v>
      </c>
      <c r="AE312" s="69">
        <f t="shared" si="335"/>
        <v>0</v>
      </c>
      <c r="AF312" s="69">
        <f t="shared" si="335"/>
        <v>0</v>
      </c>
      <c r="AG312" s="69">
        <f t="shared" si="335"/>
        <v>0</v>
      </c>
      <c r="AH312" s="69">
        <f t="shared" si="335"/>
        <v>0</v>
      </c>
      <c r="AI312" s="69">
        <f t="shared" si="335"/>
        <v>0</v>
      </c>
      <c r="AJ312" s="593">
        <v>0</v>
      </c>
    </row>
    <row r="313" spans="2:36" x14ac:dyDescent="0.2">
      <c r="B313" s="88"/>
      <c r="C313" s="89"/>
      <c r="D313" s="89"/>
      <c r="E313" s="89"/>
      <c r="F313" s="89"/>
      <c r="G313" s="89"/>
      <c r="H313" s="89"/>
      <c r="I313" s="89"/>
      <c r="J313" s="89"/>
      <c r="K313" s="96" t="s">
        <v>112791</v>
      </c>
      <c r="L313" s="127"/>
      <c r="M313" s="92"/>
      <c r="N313" s="94"/>
      <c r="O313" s="94"/>
      <c r="P313" s="94"/>
      <c r="Q313" s="94"/>
      <c r="R313" s="95"/>
      <c r="S313" s="571">
        <v>4000000</v>
      </c>
      <c r="T313" s="472"/>
      <c r="U313" s="96"/>
      <c r="V313" s="97"/>
      <c r="W313" s="96"/>
      <c r="X313" s="600"/>
      <c r="Y313" s="600"/>
      <c r="Z313" s="600"/>
      <c r="AA313" s="600"/>
      <c r="AB313" s="600"/>
      <c r="AC313" s="600"/>
      <c r="AD313" s="600"/>
      <c r="AE313" s="600"/>
      <c r="AF313" s="600"/>
      <c r="AG313" s="600"/>
      <c r="AH313" s="600"/>
      <c r="AI313" s="600"/>
      <c r="AJ313" s="593">
        <v>0</v>
      </c>
    </row>
    <row r="314" spans="2:36" ht="15.75" x14ac:dyDescent="0.2">
      <c r="B314" s="238" t="s">
        <v>105516</v>
      </c>
      <c r="C314" s="238" t="s">
        <v>106106</v>
      </c>
      <c r="D314" s="238" t="s">
        <v>105917</v>
      </c>
      <c r="E314" s="238"/>
      <c r="F314" s="238"/>
      <c r="G314" s="238"/>
      <c r="H314" s="238"/>
      <c r="I314" s="238"/>
      <c r="J314" s="429"/>
      <c r="K314" s="238"/>
      <c r="L314" s="239"/>
      <c r="M314" s="240" t="s">
        <v>112804</v>
      </c>
      <c r="N314" s="241"/>
      <c r="O314" s="241" t="s">
        <v>112995</v>
      </c>
      <c r="P314" s="242"/>
      <c r="Q314" s="242"/>
      <c r="R314" s="243">
        <f>+R315+R316</f>
        <v>0</v>
      </c>
      <c r="S314" s="243">
        <f t="shared" ref="S314" si="336">+S315+S316</f>
        <v>382000000</v>
      </c>
      <c r="T314" s="488">
        <f>T315+T316</f>
        <v>182000000</v>
      </c>
      <c r="U314" s="244"/>
      <c r="V314" s="244"/>
      <c r="W314" s="238"/>
      <c r="X314" s="243">
        <f t="shared" ref="X314:Y314" si="337">+X315+X316</f>
        <v>0</v>
      </c>
      <c r="Y314" s="243">
        <f t="shared" si="337"/>
        <v>0</v>
      </c>
      <c r="Z314" s="243">
        <f t="shared" ref="Z314:AC314" si="338">+Z315+Z316</f>
        <v>0</v>
      </c>
      <c r="AA314" s="243">
        <f t="shared" si="338"/>
        <v>0</v>
      </c>
      <c r="AB314" s="243">
        <f t="shared" si="338"/>
        <v>0</v>
      </c>
      <c r="AC314" s="243">
        <f t="shared" si="338"/>
        <v>0</v>
      </c>
      <c r="AD314" s="243">
        <f t="shared" ref="AD314:AI314" si="339">+AD315+AD316</f>
        <v>0</v>
      </c>
      <c r="AE314" s="243">
        <f t="shared" si="339"/>
        <v>0</v>
      </c>
      <c r="AF314" s="243">
        <f t="shared" si="339"/>
        <v>0</v>
      </c>
      <c r="AG314" s="243">
        <f t="shared" si="339"/>
        <v>0</v>
      </c>
      <c r="AH314" s="243">
        <f t="shared" si="339"/>
        <v>0</v>
      </c>
      <c r="AI314" s="243">
        <f t="shared" si="339"/>
        <v>0</v>
      </c>
      <c r="AJ314" s="243">
        <f t="shared" si="314"/>
        <v>-382000000</v>
      </c>
    </row>
    <row r="315" spans="2:36" x14ac:dyDescent="0.2">
      <c r="B315" s="246" t="s">
        <v>105516</v>
      </c>
      <c r="C315" s="246" t="s">
        <v>106106</v>
      </c>
      <c r="D315" s="246" t="s">
        <v>105917</v>
      </c>
      <c r="E315" s="246" t="s">
        <v>105520</v>
      </c>
      <c r="F315" s="246"/>
      <c r="G315" s="246"/>
      <c r="H315" s="246"/>
      <c r="I315" s="246"/>
      <c r="J315" s="430"/>
      <c r="K315" s="246" t="s">
        <v>112805</v>
      </c>
      <c r="L315" s="247"/>
      <c r="M315" s="248" t="s">
        <v>112806</v>
      </c>
      <c r="N315" s="249" t="s">
        <v>112995</v>
      </c>
      <c r="O315" s="249" t="s">
        <v>113031</v>
      </c>
      <c r="P315" s="250"/>
      <c r="Q315" s="250"/>
      <c r="R315" s="258"/>
      <c r="S315" s="576">
        <v>136000000</v>
      </c>
      <c r="T315" s="490">
        <v>136000000</v>
      </c>
      <c r="U315" s="246"/>
      <c r="V315" s="259"/>
      <c r="W315" s="246"/>
      <c r="X315" s="576"/>
      <c r="Y315" s="576"/>
      <c r="Z315" s="576"/>
      <c r="AA315" s="576"/>
      <c r="AB315" s="576"/>
      <c r="AC315" s="576"/>
      <c r="AD315" s="576"/>
      <c r="AE315" s="576"/>
      <c r="AF315" s="576"/>
      <c r="AG315" s="576"/>
      <c r="AH315" s="576"/>
      <c r="AI315" s="576"/>
      <c r="AJ315" s="593">
        <v>0</v>
      </c>
    </row>
    <row r="316" spans="2:36" x14ac:dyDescent="0.2">
      <c r="B316" s="246" t="s">
        <v>105516</v>
      </c>
      <c r="C316" s="246" t="s">
        <v>106106</v>
      </c>
      <c r="D316" s="246" t="s">
        <v>105917</v>
      </c>
      <c r="E316" s="246" t="s">
        <v>105917</v>
      </c>
      <c r="F316" s="246"/>
      <c r="G316" s="246"/>
      <c r="H316" s="246"/>
      <c r="I316" s="246"/>
      <c r="J316" s="430"/>
      <c r="K316" s="246" t="s">
        <v>112811</v>
      </c>
      <c r="L316" s="247"/>
      <c r="M316" s="248" t="s">
        <v>113162</v>
      </c>
      <c r="N316" s="249"/>
      <c r="O316" s="249"/>
      <c r="P316" s="250"/>
      <c r="Q316" s="250"/>
      <c r="R316" s="258"/>
      <c r="S316" s="576">
        <v>246000000</v>
      </c>
      <c r="T316" s="490">
        <v>46000000</v>
      </c>
      <c r="U316" s="246"/>
      <c r="V316" s="259"/>
      <c r="W316" s="246"/>
      <c r="X316" s="576"/>
      <c r="Y316" s="576"/>
      <c r="Z316" s="576"/>
      <c r="AA316" s="576"/>
      <c r="AB316" s="576"/>
      <c r="AC316" s="576"/>
      <c r="AD316" s="576"/>
      <c r="AE316" s="576"/>
      <c r="AF316" s="576"/>
      <c r="AG316" s="576"/>
      <c r="AH316" s="576"/>
      <c r="AI316" s="576"/>
      <c r="AJ316" s="593">
        <v>0</v>
      </c>
    </row>
    <row r="317" spans="2:36" ht="15.75" x14ac:dyDescent="0.2">
      <c r="B317" s="238" t="s">
        <v>105516</v>
      </c>
      <c r="C317" s="238" t="s">
        <v>106106</v>
      </c>
      <c r="D317" s="260" t="s">
        <v>105924</v>
      </c>
      <c r="E317" s="238"/>
      <c r="F317" s="238"/>
      <c r="G317" s="238"/>
      <c r="H317" s="238"/>
      <c r="I317" s="238"/>
      <c r="J317" s="429"/>
      <c r="K317" s="238"/>
      <c r="L317" s="239"/>
      <c r="M317" s="240" t="s">
        <v>112822</v>
      </c>
      <c r="N317" s="241"/>
      <c r="O317" s="241" t="s">
        <v>112995</v>
      </c>
      <c r="P317" s="242"/>
      <c r="Q317" s="242"/>
      <c r="R317" s="243">
        <f>+R318</f>
        <v>0</v>
      </c>
      <c r="S317" s="243">
        <f t="shared" ref="S317" si="340">+S318</f>
        <v>53000000</v>
      </c>
      <c r="T317" s="488">
        <f>T318</f>
        <v>53000000</v>
      </c>
      <c r="U317" s="244"/>
      <c r="V317" s="244"/>
      <c r="W317" s="238"/>
      <c r="X317" s="243">
        <f t="shared" ref="X317:AI317" si="341">+X318</f>
        <v>0</v>
      </c>
      <c r="Y317" s="243">
        <f t="shared" si="341"/>
        <v>0</v>
      </c>
      <c r="Z317" s="243">
        <f t="shared" si="341"/>
        <v>0</v>
      </c>
      <c r="AA317" s="243">
        <f t="shared" si="341"/>
        <v>0</v>
      </c>
      <c r="AB317" s="243">
        <f t="shared" si="341"/>
        <v>0</v>
      </c>
      <c r="AC317" s="243">
        <f t="shared" si="341"/>
        <v>0</v>
      </c>
      <c r="AD317" s="243">
        <f t="shared" si="341"/>
        <v>0</v>
      </c>
      <c r="AE317" s="243">
        <f t="shared" si="341"/>
        <v>0</v>
      </c>
      <c r="AF317" s="243">
        <f t="shared" si="341"/>
        <v>0</v>
      </c>
      <c r="AG317" s="243">
        <f t="shared" si="341"/>
        <v>0</v>
      </c>
      <c r="AH317" s="243">
        <f t="shared" si="341"/>
        <v>0</v>
      </c>
      <c r="AI317" s="243">
        <f t="shared" si="341"/>
        <v>0</v>
      </c>
      <c r="AJ317" s="243">
        <f t="shared" si="314"/>
        <v>-53000000</v>
      </c>
    </row>
    <row r="318" spans="2:36" x14ac:dyDescent="0.2">
      <c r="B318" s="246" t="s">
        <v>105516</v>
      </c>
      <c r="C318" s="246" t="s">
        <v>106106</v>
      </c>
      <c r="D318" s="261" t="s">
        <v>105924</v>
      </c>
      <c r="E318" s="246"/>
      <c r="F318" s="246"/>
      <c r="G318" s="246"/>
      <c r="H318" s="246"/>
      <c r="I318" s="246"/>
      <c r="J318" s="430"/>
      <c r="K318" s="246"/>
      <c r="L318" s="247"/>
      <c r="M318" s="248" t="s">
        <v>112822</v>
      </c>
      <c r="N318" s="249" t="s">
        <v>112995</v>
      </c>
      <c r="O318" s="249" t="s">
        <v>113031</v>
      </c>
      <c r="P318" s="250"/>
      <c r="Q318" s="250"/>
      <c r="R318" s="258">
        <v>0</v>
      </c>
      <c r="S318" s="576">
        <v>53000000</v>
      </c>
      <c r="T318" s="490">
        <v>53000000</v>
      </c>
      <c r="U318" s="246"/>
      <c r="V318" s="259"/>
      <c r="W318" s="246"/>
      <c r="X318" s="576"/>
      <c r="Y318" s="576"/>
      <c r="Z318" s="576"/>
      <c r="AA318" s="576"/>
      <c r="AB318" s="576"/>
      <c r="AC318" s="576"/>
      <c r="AD318" s="576"/>
      <c r="AE318" s="576"/>
      <c r="AF318" s="576"/>
      <c r="AG318" s="576"/>
      <c r="AH318" s="576"/>
      <c r="AI318" s="576"/>
      <c r="AJ318" s="593">
        <v>0</v>
      </c>
    </row>
    <row r="319" spans="2:36" ht="15.75" x14ac:dyDescent="0.2">
      <c r="B319" s="262" t="s">
        <v>113163</v>
      </c>
      <c r="C319" s="262"/>
      <c r="D319" s="262"/>
      <c r="E319" s="262"/>
      <c r="F319" s="262"/>
      <c r="G319" s="262"/>
      <c r="H319" s="262"/>
      <c r="I319" s="262"/>
      <c r="J319" s="432"/>
      <c r="K319" s="262"/>
      <c r="L319" s="263"/>
      <c r="M319" s="264" t="s">
        <v>113164</v>
      </c>
      <c r="N319" s="265"/>
      <c r="O319" s="265" t="s">
        <v>112995</v>
      </c>
      <c r="P319" s="266"/>
      <c r="Q319" s="266"/>
      <c r="R319" s="267">
        <f>R320</f>
        <v>37768100000</v>
      </c>
      <c r="S319" s="267">
        <f>S320</f>
        <v>38520000000</v>
      </c>
      <c r="T319" s="491">
        <f>T320</f>
        <v>38560000000</v>
      </c>
      <c r="U319" s="268"/>
      <c r="V319" s="268"/>
      <c r="W319" s="262"/>
      <c r="X319" s="267">
        <f t="shared" ref="X319:AI319" si="342">X320</f>
        <v>31600000</v>
      </c>
      <c r="Y319" s="267">
        <f t="shared" si="342"/>
        <v>269200000</v>
      </c>
      <c r="Z319" s="267">
        <f t="shared" si="342"/>
        <v>837402426.82222223</v>
      </c>
      <c r="AA319" s="267">
        <f t="shared" si="342"/>
        <v>1308766201.3222222</v>
      </c>
      <c r="AB319" s="267">
        <f t="shared" si="342"/>
        <v>961799534.65555549</v>
      </c>
      <c r="AC319" s="267">
        <f t="shared" si="342"/>
        <v>3386799534.6555552</v>
      </c>
      <c r="AD319" s="267">
        <f t="shared" si="342"/>
        <v>2511050534.6555552</v>
      </c>
      <c r="AE319" s="267">
        <f t="shared" si="342"/>
        <v>6955050534.6555557</v>
      </c>
      <c r="AF319" s="267">
        <f t="shared" si="342"/>
        <v>4363050534.6555557</v>
      </c>
      <c r="AG319" s="267">
        <f t="shared" si="342"/>
        <v>7711966169.6555557</v>
      </c>
      <c r="AH319" s="267">
        <f t="shared" si="342"/>
        <v>3026017201.3222222</v>
      </c>
      <c r="AI319" s="267">
        <f t="shared" si="342"/>
        <v>7157297327.6000004</v>
      </c>
      <c r="AJ319" s="267">
        <f t="shared" ref="AJ319" si="343">SUM(X319:AI319)-S319</f>
        <v>0</v>
      </c>
    </row>
    <row r="320" spans="2:36" ht="30.75" customHeight="1" x14ac:dyDescent="0.2">
      <c r="B320" s="270" t="s">
        <v>113163</v>
      </c>
      <c r="C320" s="270" t="s">
        <v>113165</v>
      </c>
      <c r="D320" s="270"/>
      <c r="E320" s="270"/>
      <c r="F320" s="270"/>
      <c r="G320" s="270"/>
      <c r="H320" s="270"/>
      <c r="I320" s="270"/>
      <c r="J320" s="433"/>
      <c r="K320" s="270"/>
      <c r="L320" s="271"/>
      <c r="M320" s="272" t="s">
        <v>113166</v>
      </c>
      <c r="N320" s="273"/>
      <c r="O320" s="273" t="s">
        <v>112995</v>
      </c>
      <c r="P320" s="274"/>
      <c r="Q320" s="274"/>
      <c r="R320" s="275">
        <f>+R321</f>
        <v>37768100000</v>
      </c>
      <c r="S320" s="275">
        <f t="shared" ref="S320" si="344">+S321</f>
        <v>38520000000</v>
      </c>
      <c r="T320" s="492">
        <f>T321</f>
        <v>38560000000</v>
      </c>
      <c r="U320" s="276"/>
      <c r="V320" s="276"/>
      <c r="W320" s="406"/>
      <c r="X320" s="275">
        <f t="shared" ref="X320:AI320" si="345">+X321</f>
        <v>31600000</v>
      </c>
      <c r="Y320" s="275">
        <f t="shared" si="345"/>
        <v>269200000</v>
      </c>
      <c r="Z320" s="275">
        <f t="shared" si="345"/>
        <v>837402426.82222223</v>
      </c>
      <c r="AA320" s="275">
        <f t="shared" si="345"/>
        <v>1308766201.3222222</v>
      </c>
      <c r="AB320" s="275">
        <f t="shared" si="345"/>
        <v>961799534.65555549</v>
      </c>
      <c r="AC320" s="275">
        <f t="shared" si="345"/>
        <v>3386799534.6555552</v>
      </c>
      <c r="AD320" s="275">
        <f t="shared" si="345"/>
        <v>2511050534.6555552</v>
      </c>
      <c r="AE320" s="275">
        <f t="shared" si="345"/>
        <v>6955050534.6555557</v>
      </c>
      <c r="AF320" s="275">
        <f t="shared" si="345"/>
        <v>4363050534.6555557</v>
      </c>
      <c r="AG320" s="275">
        <f t="shared" si="345"/>
        <v>7711966169.6555557</v>
      </c>
      <c r="AH320" s="275">
        <f t="shared" si="345"/>
        <v>3026017201.3222222</v>
      </c>
      <c r="AI320" s="275">
        <f t="shared" si="345"/>
        <v>7157297327.6000004</v>
      </c>
      <c r="AJ320" s="593">
        <v>0</v>
      </c>
    </row>
    <row r="321" spans="2:36" ht="15.75" x14ac:dyDescent="0.2">
      <c r="B321" s="278" t="s">
        <v>113163</v>
      </c>
      <c r="C321" s="278">
        <v>1505</v>
      </c>
      <c r="D321" s="309" t="s">
        <v>113167</v>
      </c>
      <c r="E321" s="278"/>
      <c r="F321" s="278"/>
      <c r="G321" s="278"/>
      <c r="H321" s="278"/>
      <c r="I321" s="278"/>
      <c r="J321" s="434"/>
      <c r="K321" s="278"/>
      <c r="L321" s="279"/>
      <c r="M321" s="280" t="s">
        <v>113168</v>
      </c>
      <c r="N321" s="281"/>
      <c r="O321" s="281" t="s">
        <v>112995</v>
      </c>
      <c r="P321" s="282"/>
      <c r="Q321" s="282"/>
      <c r="R321" s="283">
        <f>+R362+R322</f>
        <v>37768100000</v>
      </c>
      <c r="S321" s="283">
        <f t="shared" ref="S321" si="346">+S362+S322</f>
        <v>38520000000</v>
      </c>
      <c r="T321" s="493">
        <f>T322+T362</f>
        <v>38560000000</v>
      </c>
      <c r="U321" s="284"/>
      <c r="V321" s="284"/>
      <c r="W321" s="407"/>
      <c r="X321" s="283">
        <f t="shared" ref="X321:Y321" si="347">+X362+X322</f>
        <v>31600000</v>
      </c>
      <c r="Y321" s="283">
        <f t="shared" si="347"/>
        <v>269200000</v>
      </c>
      <c r="Z321" s="283">
        <f t="shared" ref="Z321:AC321" si="348">+Z362+Z322</f>
        <v>837402426.82222223</v>
      </c>
      <c r="AA321" s="283">
        <f t="shared" si="348"/>
        <v>1308766201.3222222</v>
      </c>
      <c r="AB321" s="283">
        <f t="shared" si="348"/>
        <v>961799534.65555549</v>
      </c>
      <c r="AC321" s="283">
        <f t="shared" si="348"/>
        <v>3386799534.6555552</v>
      </c>
      <c r="AD321" s="283">
        <f t="shared" ref="AD321:AI321" si="349">+AD362+AD322</f>
        <v>2511050534.6555552</v>
      </c>
      <c r="AE321" s="283">
        <f t="shared" si="349"/>
        <v>6955050534.6555557</v>
      </c>
      <c r="AF321" s="283">
        <f t="shared" si="349"/>
        <v>4363050534.6555557</v>
      </c>
      <c r="AG321" s="283">
        <f t="shared" si="349"/>
        <v>7711966169.6555557</v>
      </c>
      <c r="AH321" s="283">
        <f t="shared" si="349"/>
        <v>3026017201.3222222</v>
      </c>
      <c r="AI321" s="283">
        <f t="shared" si="349"/>
        <v>7157297327.6000004</v>
      </c>
      <c r="AJ321" s="593">
        <v>0</v>
      </c>
    </row>
    <row r="322" spans="2:36" ht="30" x14ac:dyDescent="0.2">
      <c r="B322" s="254" t="s">
        <v>113163</v>
      </c>
      <c r="C322" s="254">
        <v>1505</v>
      </c>
      <c r="D322" s="254" t="s">
        <v>113167</v>
      </c>
      <c r="E322" s="308" t="s">
        <v>105675</v>
      </c>
      <c r="F322" s="254"/>
      <c r="G322" s="254"/>
      <c r="H322" s="254"/>
      <c r="I322" s="254"/>
      <c r="J322" s="431"/>
      <c r="K322" s="254"/>
      <c r="L322" s="65"/>
      <c r="M322" s="66" t="s">
        <v>113182</v>
      </c>
      <c r="N322" s="67"/>
      <c r="O322" s="67" t="s">
        <v>112995</v>
      </c>
      <c r="P322" s="68"/>
      <c r="Q322" s="68"/>
      <c r="R322" s="69">
        <f>+R323</f>
        <v>20003100000</v>
      </c>
      <c r="S322" s="69">
        <f t="shared" ref="S322" si="350">+S323</f>
        <v>20755000000</v>
      </c>
      <c r="T322" s="469">
        <f>T323</f>
        <v>20795000000</v>
      </c>
      <c r="U322" s="70"/>
      <c r="V322" s="70"/>
      <c r="W322" s="254"/>
      <c r="X322" s="69">
        <f t="shared" ref="X322:AI322" si="351">+X323</f>
        <v>29600000</v>
      </c>
      <c r="Y322" s="69">
        <f t="shared" si="351"/>
        <v>94200000</v>
      </c>
      <c r="Z322" s="69">
        <f t="shared" si="351"/>
        <v>665722222.22222221</v>
      </c>
      <c r="AA322" s="69">
        <f t="shared" si="351"/>
        <v>1113585996.7222223</v>
      </c>
      <c r="AB322" s="69">
        <f t="shared" si="351"/>
        <v>710285996.72222221</v>
      </c>
      <c r="AC322" s="69">
        <f t="shared" si="351"/>
        <v>2608285996.7222219</v>
      </c>
      <c r="AD322" s="69">
        <f t="shared" si="351"/>
        <v>556785996.72222221</v>
      </c>
      <c r="AE322" s="69">
        <f t="shared" si="351"/>
        <v>3985785996.7222223</v>
      </c>
      <c r="AF322" s="69">
        <f t="shared" si="351"/>
        <v>1523785996.7222223</v>
      </c>
      <c r="AG322" s="69">
        <f t="shared" si="351"/>
        <v>4500201631.7222223</v>
      </c>
      <c r="AH322" s="69">
        <f t="shared" si="351"/>
        <v>1042385996.7222222</v>
      </c>
      <c r="AI322" s="69">
        <f t="shared" si="351"/>
        <v>3924374169</v>
      </c>
      <c r="AJ322" s="593">
        <v>0</v>
      </c>
    </row>
    <row r="323" spans="2:36" ht="15.75" x14ac:dyDescent="0.2">
      <c r="B323" s="289" t="s">
        <v>113163</v>
      </c>
      <c r="C323" s="289">
        <v>1505</v>
      </c>
      <c r="D323" s="289" t="s">
        <v>113167</v>
      </c>
      <c r="E323" s="289" t="s">
        <v>105675</v>
      </c>
      <c r="F323" s="289" t="s">
        <v>113226</v>
      </c>
      <c r="G323" s="289">
        <v>1505006</v>
      </c>
      <c r="H323" s="289"/>
      <c r="I323" s="289"/>
      <c r="J323" s="435"/>
      <c r="K323" s="289"/>
      <c r="L323" s="35"/>
      <c r="M323" s="36" t="s">
        <v>112994</v>
      </c>
      <c r="N323" s="290"/>
      <c r="O323" s="290" t="s">
        <v>112995</v>
      </c>
      <c r="P323" s="291"/>
      <c r="Q323" s="291"/>
      <c r="R323" s="296">
        <f>SUM(R324:R361)</f>
        <v>20003100000</v>
      </c>
      <c r="S323" s="296">
        <f t="shared" ref="S323" si="352">SUM(S324:S361)</f>
        <v>20755000000</v>
      </c>
      <c r="T323" s="494">
        <v>20795000000</v>
      </c>
      <c r="U323" s="297"/>
      <c r="V323" s="297"/>
      <c r="W323" s="408"/>
      <c r="X323" s="296">
        <f t="shared" ref="X323:Y323" si="353">SUM(X324:X361)</f>
        <v>29600000</v>
      </c>
      <c r="Y323" s="296">
        <f t="shared" si="353"/>
        <v>94200000</v>
      </c>
      <c r="Z323" s="296">
        <f t="shared" ref="Z323:AC323" si="354">SUM(Z324:Z361)</f>
        <v>665722222.22222221</v>
      </c>
      <c r="AA323" s="296">
        <f t="shared" si="354"/>
        <v>1113585996.7222223</v>
      </c>
      <c r="AB323" s="296">
        <f t="shared" si="354"/>
        <v>710285996.72222221</v>
      </c>
      <c r="AC323" s="296">
        <f t="shared" si="354"/>
        <v>2608285996.7222219</v>
      </c>
      <c r="AD323" s="296">
        <f t="shared" ref="AD323:AI323" si="355">SUM(AD324:AD361)</f>
        <v>556785996.72222221</v>
      </c>
      <c r="AE323" s="296">
        <f t="shared" si="355"/>
        <v>3985785996.7222223</v>
      </c>
      <c r="AF323" s="296">
        <f t="shared" si="355"/>
        <v>1523785996.7222223</v>
      </c>
      <c r="AG323" s="296">
        <f t="shared" si="355"/>
        <v>4500201631.7222223</v>
      </c>
      <c r="AH323" s="296">
        <f t="shared" si="355"/>
        <v>1042385996.7222222</v>
      </c>
      <c r="AI323" s="296">
        <f t="shared" si="355"/>
        <v>3924374169</v>
      </c>
      <c r="AJ323" s="593">
        <v>0</v>
      </c>
    </row>
    <row r="324" spans="2:36" ht="60" x14ac:dyDescent="0.2">
      <c r="B324" s="88"/>
      <c r="C324" s="89"/>
      <c r="D324" s="89"/>
      <c r="E324" s="89"/>
      <c r="F324" s="89"/>
      <c r="G324" s="89"/>
      <c r="H324" s="89"/>
      <c r="I324" s="89"/>
      <c r="J324" s="89"/>
      <c r="K324" s="96" t="s">
        <v>113724</v>
      </c>
      <c r="L324" s="91" t="s">
        <v>113170</v>
      </c>
      <c r="M324" s="438" t="s">
        <v>113454</v>
      </c>
      <c r="N324" s="93">
        <v>45662</v>
      </c>
      <c r="O324" s="93" t="s">
        <v>113060</v>
      </c>
      <c r="P324" s="94" t="s">
        <v>113022</v>
      </c>
      <c r="Q324" s="94" t="s">
        <v>113715</v>
      </c>
      <c r="R324" s="118">
        <v>4286426295</v>
      </c>
      <c r="S324" s="573">
        <v>4286426295</v>
      </c>
      <c r="T324" s="477"/>
      <c r="U324" s="96"/>
      <c r="V324" s="141"/>
      <c r="W324" s="400"/>
      <c r="X324" s="605"/>
      <c r="Y324" s="605"/>
      <c r="Z324" s="605"/>
      <c r="AA324" s="605">
        <v>120000000</v>
      </c>
      <c r="AB324" s="605">
        <v>0</v>
      </c>
      <c r="AC324" s="605">
        <v>650000000</v>
      </c>
      <c r="AD324" s="605"/>
      <c r="AE324" s="605">
        <v>800000000</v>
      </c>
      <c r="AF324" s="605"/>
      <c r="AG324" s="605">
        <v>1250000000</v>
      </c>
      <c r="AH324" s="605"/>
      <c r="AI324" s="605">
        <v>1466426295</v>
      </c>
      <c r="AJ324" s="593">
        <v>0</v>
      </c>
    </row>
    <row r="325" spans="2:36" ht="105" x14ac:dyDescent="0.2">
      <c r="B325" s="88"/>
      <c r="C325" s="89"/>
      <c r="D325" s="89"/>
      <c r="E325" s="89"/>
      <c r="F325" s="89"/>
      <c r="G325" s="89"/>
      <c r="H325" s="89"/>
      <c r="I325" s="89"/>
      <c r="J325" s="89"/>
      <c r="K325" s="96" t="s">
        <v>113724</v>
      </c>
      <c r="L325" s="91">
        <v>81101500</v>
      </c>
      <c r="M325" s="438" t="s">
        <v>113455</v>
      </c>
      <c r="N325" s="93">
        <v>45662</v>
      </c>
      <c r="O325" s="93" t="s">
        <v>113060</v>
      </c>
      <c r="P325" s="94" t="s">
        <v>113022</v>
      </c>
      <c r="Q325" s="94" t="s">
        <v>113716</v>
      </c>
      <c r="R325" s="118">
        <v>445450049</v>
      </c>
      <c r="S325" s="573">
        <v>445450049</v>
      </c>
      <c r="T325" s="477"/>
      <c r="U325" s="96"/>
      <c r="V325" s="141"/>
      <c r="W325" s="400"/>
      <c r="X325" s="605"/>
      <c r="Y325" s="605"/>
      <c r="Z325" s="605"/>
      <c r="AA325" s="605">
        <f>$S$325/9</f>
        <v>49494449.888888888</v>
      </c>
      <c r="AB325" s="605">
        <f t="shared" ref="AB325:AI325" si="356">$S$325/9</f>
        <v>49494449.888888888</v>
      </c>
      <c r="AC325" s="605">
        <f t="shared" si="356"/>
        <v>49494449.888888888</v>
      </c>
      <c r="AD325" s="605">
        <f t="shared" si="356"/>
        <v>49494449.888888888</v>
      </c>
      <c r="AE325" s="605">
        <f t="shared" si="356"/>
        <v>49494449.888888888</v>
      </c>
      <c r="AF325" s="605">
        <f t="shared" si="356"/>
        <v>49494449.888888888</v>
      </c>
      <c r="AG325" s="605">
        <f t="shared" si="356"/>
        <v>49494449.888888888</v>
      </c>
      <c r="AH325" s="605">
        <f t="shared" si="356"/>
        <v>49494449.888888888</v>
      </c>
      <c r="AI325" s="605">
        <f t="shared" si="356"/>
        <v>49494449.888888888</v>
      </c>
      <c r="AJ325" s="593">
        <v>0</v>
      </c>
    </row>
    <row r="326" spans="2:36" ht="60" x14ac:dyDescent="0.2">
      <c r="B326" s="88"/>
      <c r="C326" s="89"/>
      <c r="D326" s="89"/>
      <c r="E326" s="89"/>
      <c r="F326" s="89"/>
      <c r="G326" s="89"/>
      <c r="H326" s="89"/>
      <c r="I326" s="89"/>
      <c r="J326" s="89"/>
      <c r="K326" s="96" t="s">
        <v>113724</v>
      </c>
      <c r="L326" s="91" t="s">
        <v>113170</v>
      </c>
      <c r="M326" s="438" t="s">
        <v>113456</v>
      </c>
      <c r="N326" s="93">
        <v>45662</v>
      </c>
      <c r="O326" s="93" t="s">
        <v>113060</v>
      </c>
      <c r="P326" s="94" t="s">
        <v>113022</v>
      </c>
      <c r="Q326" s="94" t="s">
        <v>113715</v>
      </c>
      <c r="R326" s="118">
        <v>1773272720</v>
      </c>
      <c r="S326" s="573">
        <v>1773272720</v>
      </c>
      <c r="T326" s="477"/>
      <c r="U326" s="96"/>
      <c r="V326" s="141"/>
      <c r="W326" s="400"/>
      <c r="X326" s="605"/>
      <c r="Y326" s="605"/>
      <c r="Z326" s="605"/>
      <c r="AA326" s="605">
        <v>50000000</v>
      </c>
      <c r="AB326" s="605"/>
      <c r="AC326" s="605">
        <v>250000000</v>
      </c>
      <c r="AD326" s="605"/>
      <c r="AE326" s="605">
        <v>520000000</v>
      </c>
      <c r="AF326" s="605"/>
      <c r="AG326" s="605">
        <v>420000000</v>
      </c>
      <c r="AH326" s="605"/>
      <c r="AI326" s="605">
        <v>533272720</v>
      </c>
      <c r="AJ326" s="593">
        <v>0</v>
      </c>
    </row>
    <row r="327" spans="2:36" ht="90" x14ac:dyDescent="0.2">
      <c r="B327" s="88"/>
      <c r="C327" s="89"/>
      <c r="D327" s="89"/>
      <c r="E327" s="89"/>
      <c r="F327" s="89"/>
      <c r="G327" s="89"/>
      <c r="H327" s="89"/>
      <c r="I327" s="89"/>
      <c r="J327" s="89"/>
      <c r="K327" s="96" t="s">
        <v>113724</v>
      </c>
      <c r="L327" s="91">
        <v>81101500</v>
      </c>
      <c r="M327" s="438" t="s">
        <v>113457</v>
      </c>
      <c r="N327" s="93">
        <v>45662</v>
      </c>
      <c r="O327" s="93" t="s">
        <v>113060</v>
      </c>
      <c r="P327" s="94" t="s">
        <v>113022</v>
      </c>
      <c r="Q327" s="94" t="s">
        <v>113716</v>
      </c>
      <c r="R327" s="118">
        <v>184065708</v>
      </c>
      <c r="S327" s="573">
        <v>184065708</v>
      </c>
      <c r="T327" s="477"/>
      <c r="U327" s="96"/>
      <c r="V327" s="141"/>
      <c r="W327" s="400"/>
      <c r="X327" s="605"/>
      <c r="Y327" s="605"/>
      <c r="Z327" s="605"/>
      <c r="AA327" s="605">
        <f>$S$327/8</f>
        <v>23008213.5</v>
      </c>
      <c r="AB327" s="605">
        <f t="shared" ref="AB327:AH327" si="357">$S$327/8</f>
        <v>23008213.5</v>
      </c>
      <c r="AC327" s="605">
        <f t="shared" si="357"/>
        <v>23008213.5</v>
      </c>
      <c r="AD327" s="605">
        <f t="shared" si="357"/>
        <v>23008213.5</v>
      </c>
      <c r="AE327" s="605">
        <f t="shared" si="357"/>
        <v>23008213.5</v>
      </c>
      <c r="AF327" s="605">
        <f t="shared" si="357"/>
        <v>23008213.5</v>
      </c>
      <c r="AG327" s="605">
        <f t="shared" si="357"/>
        <v>23008213.5</v>
      </c>
      <c r="AH327" s="605">
        <f t="shared" si="357"/>
        <v>23008213.5</v>
      </c>
      <c r="AI327" s="605"/>
      <c r="AJ327" s="593">
        <v>0</v>
      </c>
    </row>
    <row r="328" spans="2:36" ht="60" x14ac:dyDescent="0.2">
      <c r="B328" s="88"/>
      <c r="C328" s="89"/>
      <c r="D328" s="89"/>
      <c r="E328" s="89"/>
      <c r="F328" s="89"/>
      <c r="G328" s="89"/>
      <c r="H328" s="89"/>
      <c r="I328" s="89"/>
      <c r="J328" s="89"/>
      <c r="K328" s="96" t="s">
        <v>113724</v>
      </c>
      <c r="L328" s="91" t="s">
        <v>113170</v>
      </c>
      <c r="M328" s="438" t="s">
        <v>113458</v>
      </c>
      <c r="N328" s="93">
        <v>45662</v>
      </c>
      <c r="O328" s="93" t="s">
        <v>113060</v>
      </c>
      <c r="P328" s="94" t="s">
        <v>113022</v>
      </c>
      <c r="Q328" s="94" t="s">
        <v>113715</v>
      </c>
      <c r="R328" s="118">
        <v>1510274233</v>
      </c>
      <c r="S328" s="573">
        <v>1510274233</v>
      </c>
      <c r="T328" s="477"/>
      <c r="U328" s="96"/>
      <c r="V328" s="141"/>
      <c r="W328" s="400"/>
      <c r="X328" s="605"/>
      <c r="Y328" s="605"/>
      <c r="Z328" s="605"/>
      <c r="AA328" s="605">
        <v>50000000</v>
      </c>
      <c r="AB328" s="605"/>
      <c r="AC328" s="605">
        <v>250000000</v>
      </c>
      <c r="AD328" s="605"/>
      <c r="AE328" s="605">
        <v>520000000</v>
      </c>
      <c r="AF328" s="605"/>
      <c r="AG328" s="605">
        <v>520000000</v>
      </c>
      <c r="AH328" s="605"/>
      <c r="AI328" s="605">
        <v>170274233</v>
      </c>
      <c r="AJ328" s="593">
        <v>0</v>
      </c>
    </row>
    <row r="329" spans="2:36" ht="90" x14ac:dyDescent="0.2">
      <c r="B329" s="88"/>
      <c r="C329" s="89"/>
      <c r="D329" s="89"/>
      <c r="E329" s="89"/>
      <c r="F329" s="89"/>
      <c r="G329" s="89"/>
      <c r="H329" s="89"/>
      <c r="I329" s="89"/>
      <c r="J329" s="89"/>
      <c r="K329" s="96" t="s">
        <v>113724</v>
      </c>
      <c r="L329" s="91">
        <v>81101500</v>
      </c>
      <c r="M329" s="438" t="s">
        <v>113459</v>
      </c>
      <c r="N329" s="93">
        <v>45662</v>
      </c>
      <c r="O329" s="93" t="s">
        <v>113060</v>
      </c>
      <c r="P329" s="94" t="s">
        <v>113022</v>
      </c>
      <c r="Q329" s="94" t="s">
        <v>113716</v>
      </c>
      <c r="R329" s="118">
        <v>170000000</v>
      </c>
      <c r="S329" s="573">
        <v>170000000</v>
      </c>
      <c r="T329" s="477"/>
      <c r="U329" s="96"/>
      <c r="V329" s="141"/>
      <c r="W329" s="400"/>
      <c r="X329" s="605"/>
      <c r="Y329" s="605"/>
      <c r="Z329" s="605"/>
      <c r="AA329" s="605">
        <f>$S$329/8</f>
        <v>21250000</v>
      </c>
      <c r="AB329" s="605">
        <f t="shared" ref="AB329:AH329" si="358">$S$329/8</f>
        <v>21250000</v>
      </c>
      <c r="AC329" s="605">
        <f t="shared" si="358"/>
        <v>21250000</v>
      </c>
      <c r="AD329" s="605">
        <f t="shared" si="358"/>
        <v>21250000</v>
      </c>
      <c r="AE329" s="605">
        <f t="shared" si="358"/>
        <v>21250000</v>
      </c>
      <c r="AF329" s="605">
        <f t="shared" si="358"/>
        <v>21250000</v>
      </c>
      <c r="AG329" s="605">
        <f t="shared" si="358"/>
        <v>21250000</v>
      </c>
      <c r="AH329" s="605">
        <f t="shared" si="358"/>
        <v>21250000</v>
      </c>
      <c r="AI329" s="605"/>
      <c r="AJ329" s="593">
        <v>0</v>
      </c>
    </row>
    <row r="330" spans="2:36" ht="60" x14ac:dyDescent="0.2">
      <c r="B330" s="88"/>
      <c r="C330" s="89"/>
      <c r="D330" s="89"/>
      <c r="E330" s="89"/>
      <c r="F330" s="89"/>
      <c r="G330" s="89"/>
      <c r="H330" s="89"/>
      <c r="I330" s="89"/>
      <c r="J330" s="89"/>
      <c r="K330" s="96" t="s">
        <v>113724</v>
      </c>
      <c r="L330" s="91" t="s">
        <v>113170</v>
      </c>
      <c r="M330" s="438" t="s">
        <v>113717</v>
      </c>
      <c r="N330" s="93">
        <v>45662</v>
      </c>
      <c r="O330" s="93" t="s">
        <v>113060</v>
      </c>
      <c r="P330" s="94" t="s">
        <v>113022</v>
      </c>
      <c r="Q330" s="94" t="s">
        <v>113715</v>
      </c>
      <c r="R330" s="118">
        <v>3170285360</v>
      </c>
      <c r="S330" s="573">
        <v>3170285360</v>
      </c>
      <c r="T330" s="477"/>
      <c r="U330" s="96"/>
      <c r="V330" s="141"/>
      <c r="W330" s="400"/>
      <c r="X330" s="605"/>
      <c r="Y330" s="605"/>
      <c r="Z330" s="605"/>
      <c r="AA330" s="605">
        <v>100000000</v>
      </c>
      <c r="AB330" s="605"/>
      <c r="AC330" s="605">
        <v>500000000</v>
      </c>
      <c r="AD330" s="605"/>
      <c r="AE330" s="605">
        <v>700000000</v>
      </c>
      <c r="AF330" s="605">
        <v>500000000</v>
      </c>
      <c r="AG330" s="605">
        <v>800000000</v>
      </c>
      <c r="AH330" s="605"/>
      <c r="AI330" s="605">
        <v>570285360</v>
      </c>
      <c r="AJ330" s="593">
        <v>0</v>
      </c>
    </row>
    <row r="331" spans="2:36" ht="105" x14ac:dyDescent="0.2">
      <c r="B331" s="88"/>
      <c r="C331" s="89"/>
      <c r="D331" s="89"/>
      <c r="E331" s="89"/>
      <c r="F331" s="89"/>
      <c r="G331" s="89"/>
      <c r="H331" s="89"/>
      <c r="I331" s="89"/>
      <c r="J331" s="89"/>
      <c r="K331" s="96" t="s">
        <v>113724</v>
      </c>
      <c r="L331" s="91">
        <v>81101500</v>
      </c>
      <c r="M331" s="438" t="s">
        <v>113461</v>
      </c>
      <c r="N331" s="93">
        <v>45662</v>
      </c>
      <c r="O331" s="93" t="s">
        <v>113060</v>
      </c>
      <c r="P331" s="94" t="s">
        <v>113022</v>
      </c>
      <c r="Q331" s="94" t="s">
        <v>113716</v>
      </c>
      <c r="R331" s="118">
        <v>355000000</v>
      </c>
      <c r="S331" s="573">
        <v>355000000</v>
      </c>
      <c r="T331" s="477"/>
      <c r="U331" s="96"/>
      <c r="V331" s="141"/>
      <c r="W331" s="400"/>
      <c r="X331" s="605"/>
      <c r="Y331" s="605"/>
      <c r="Z331" s="605"/>
      <c r="AA331" s="605">
        <f>$S$331/9</f>
        <v>39444444.444444448</v>
      </c>
      <c r="AB331" s="605">
        <f t="shared" ref="AB331:AI331" si="359">$S$331/9</f>
        <v>39444444.444444448</v>
      </c>
      <c r="AC331" s="605">
        <f t="shared" si="359"/>
        <v>39444444.444444448</v>
      </c>
      <c r="AD331" s="605">
        <f t="shared" si="359"/>
        <v>39444444.444444448</v>
      </c>
      <c r="AE331" s="605">
        <f t="shared" si="359"/>
        <v>39444444.444444448</v>
      </c>
      <c r="AF331" s="605">
        <f t="shared" si="359"/>
        <v>39444444.444444448</v>
      </c>
      <c r="AG331" s="605">
        <f t="shared" si="359"/>
        <v>39444444.444444448</v>
      </c>
      <c r="AH331" s="605">
        <f t="shared" si="359"/>
        <v>39444444.444444448</v>
      </c>
      <c r="AI331" s="605">
        <f t="shared" si="359"/>
        <v>39444444.444444448</v>
      </c>
      <c r="AJ331" s="593">
        <v>0</v>
      </c>
    </row>
    <row r="332" spans="2:36" ht="60" x14ac:dyDescent="0.2">
      <c r="B332" s="88"/>
      <c r="C332" s="89"/>
      <c r="D332" s="89"/>
      <c r="E332" s="89"/>
      <c r="F332" s="89"/>
      <c r="G332" s="89"/>
      <c r="H332" s="89"/>
      <c r="I332" s="89"/>
      <c r="J332" s="89"/>
      <c r="K332" s="96" t="s">
        <v>113724</v>
      </c>
      <c r="L332" s="91" t="s">
        <v>113170</v>
      </c>
      <c r="M332" s="438" t="s">
        <v>113718</v>
      </c>
      <c r="N332" s="93">
        <v>45662</v>
      </c>
      <c r="O332" s="93" t="s">
        <v>113060</v>
      </c>
      <c r="P332" s="94" t="s">
        <v>113022</v>
      </c>
      <c r="Q332" s="94" t="s">
        <v>113715</v>
      </c>
      <c r="R332" s="118">
        <v>3360110000</v>
      </c>
      <c r="S332" s="573">
        <v>3360110000</v>
      </c>
      <c r="T332" s="477"/>
      <c r="U332" s="96"/>
      <c r="V332" s="141"/>
      <c r="W332" s="400"/>
      <c r="X332" s="605"/>
      <c r="Y332" s="605"/>
      <c r="Z332" s="605"/>
      <c r="AA332" s="605">
        <v>120000000</v>
      </c>
      <c r="AB332" s="605"/>
      <c r="AC332" s="605">
        <v>650000000</v>
      </c>
      <c r="AD332" s="605"/>
      <c r="AE332" s="605">
        <v>700000000</v>
      </c>
      <c r="AF332" s="605"/>
      <c r="AG332" s="605">
        <v>850000000</v>
      </c>
      <c r="AH332" s="605"/>
      <c r="AI332" s="605">
        <v>1040110000</v>
      </c>
      <c r="AJ332" s="593">
        <v>0</v>
      </c>
    </row>
    <row r="333" spans="2:36" ht="90" x14ac:dyDescent="0.2">
      <c r="B333" s="88"/>
      <c r="C333" s="89"/>
      <c r="D333" s="89"/>
      <c r="E333" s="89"/>
      <c r="F333" s="89"/>
      <c r="G333" s="89"/>
      <c r="H333" s="89"/>
      <c r="I333" s="89"/>
      <c r="J333" s="89"/>
      <c r="K333" s="96" t="s">
        <v>113724</v>
      </c>
      <c r="L333" s="91">
        <v>81101500</v>
      </c>
      <c r="M333" s="438" t="s">
        <v>113719</v>
      </c>
      <c r="N333" s="93">
        <v>45662</v>
      </c>
      <c r="O333" s="93" t="s">
        <v>113060</v>
      </c>
      <c r="P333" s="94" t="s">
        <v>113022</v>
      </c>
      <c r="Q333" s="94" t="s">
        <v>113716</v>
      </c>
      <c r="R333" s="118">
        <v>375000000</v>
      </c>
      <c r="S333" s="573">
        <v>375000000</v>
      </c>
      <c r="T333" s="477"/>
      <c r="U333" s="96"/>
      <c r="V333" s="141"/>
      <c r="W333" s="400"/>
      <c r="X333" s="605"/>
      <c r="Y333" s="605"/>
      <c r="Z333" s="605"/>
      <c r="AA333" s="605">
        <f>$S$333/9</f>
        <v>41666666.666666664</v>
      </c>
      <c r="AB333" s="605">
        <f t="shared" ref="AB333:AI333" si="360">$S$333/9</f>
        <v>41666666.666666664</v>
      </c>
      <c r="AC333" s="605">
        <f t="shared" si="360"/>
        <v>41666666.666666664</v>
      </c>
      <c r="AD333" s="605">
        <f t="shared" si="360"/>
        <v>41666666.666666664</v>
      </c>
      <c r="AE333" s="605">
        <f t="shared" si="360"/>
        <v>41666666.666666664</v>
      </c>
      <c r="AF333" s="605">
        <f t="shared" si="360"/>
        <v>41666666.666666664</v>
      </c>
      <c r="AG333" s="605">
        <f t="shared" si="360"/>
        <v>41666666.666666664</v>
      </c>
      <c r="AH333" s="605">
        <f t="shared" si="360"/>
        <v>41666666.666666664</v>
      </c>
      <c r="AI333" s="605">
        <f t="shared" si="360"/>
        <v>41666666.666666664</v>
      </c>
      <c r="AJ333" s="593">
        <v>0</v>
      </c>
    </row>
    <row r="334" spans="2:36" ht="45" x14ac:dyDescent="0.2">
      <c r="B334" s="88"/>
      <c r="C334" s="89"/>
      <c r="D334" s="89"/>
      <c r="E334" s="89"/>
      <c r="F334" s="89"/>
      <c r="G334" s="89"/>
      <c r="H334" s="89"/>
      <c r="I334" s="89"/>
      <c r="J334" s="89"/>
      <c r="K334" s="96" t="s">
        <v>113724</v>
      </c>
      <c r="L334" s="91" t="s">
        <v>113170</v>
      </c>
      <c r="M334" s="438" t="s">
        <v>113465</v>
      </c>
      <c r="N334" s="93">
        <v>45693</v>
      </c>
      <c r="O334" s="93" t="s">
        <v>113060</v>
      </c>
      <c r="P334" s="94" t="s">
        <v>113002</v>
      </c>
      <c r="Q334" s="94" t="s">
        <v>113715</v>
      </c>
      <c r="R334" s="118">
        <f>2000000000+810815635</f>
        <v>2810815635</v>
      </c>
      <c r="S334" s="573">
        <v>2750000000</v>
      </c>
      <c r="T334" s="477"/>
      <c r="U334" s="96"/>
      <c r="V334" s="141"/>
      <c r="W334" s="400"/>
      <c r="X334" s="605"/>
      <c r="Y334" s="605"/>
      <c r="Z334" s="605">
        <v>250000000</v>
      </c>
      <c r="AA334" s="605">
        <v>380000000</v>
      </c>
      <c r="AB334" s="605">
        <v>420000000</v>
      </c>
      <c r="AC334" s="605"/>
      <c r="AD334" s="605">
        <v>120000000</v>
      </c>
      <c r="AE334" s="605">
        <v>280000000</v>
      </c>
      <c r="AF334" s="605">
        <v>520000000</v>
      </c>
      <c r="AG334" s="605"/>
      <c r="AH334" s="605">
        <v>780000000</v>
      </c>
      <c r="AI334" s="605"/>
      <c r="AJ334" s="593">
        <v>0</v>
      </c>
    </row>
    <row r="335" spans="2:36" ht="75" x14ac:dyDescent="0.2">
      <c r="B335" s="88"/>
      <c r="C335" s="89"/>
      <c r="D335" s="89"/>
      <c r="E335" s="89"/>
      <c r="F335" s="89"/>
      <c r="G335" s="89"/>
      <c r="H335" s="89"/>
      <c r="I335" s="89"/>
      <c r="J335" s="89"/>
      <c r="K335" s="96" t="s">
        <v>113724</v>
      </c>
      <c r="L335" s="91">
        <v>81101500</v>
      </c>
      <c r="M335" s="438" t="s">
        <v>113466</v>
      </c>
      <c r="N335" s="93">
        <v>45662</v>
      </c>
      <c r="O335" s="93" t="s">
        <v>113060</v>
      </c>
      <c r="P335" s="94" t="s">
        <v>113022</v>
      </c>
      <c r="Q335" s="94" t="s">
        <v>113716</v>
      </c>
      <c r="R335" s="118">
        <v>195000000</v>
      </c>
      <c r="S335" s="573">
        <v>200000000</v>
      </c>
      <c r="T335" s="477"/>
      <c r="U335" s="96"/>
      <c r="V335" s="141"/>
      <c r="W335" s="400"/>
      <c r="X335" s="605"/>
      <c r="Y335" s="605"/>
      <c r="Z335" s="605">
        <f>$S$335/9</f>
        <v>22222222.222222224</v>
      </c>
      <c r="AA335" s="605">
        <f t="shared" ref="AA335:AH335" si="361">$S$335/9</f>
        <v>22222222.222222224</v>
      </c>
      <c r="AB335" s="605">
        <f t="shared" si="361"/>
        <v>22222222.222222224</v>
      </c>
      <c r="AC335" s="605">
        <f t="shared" si="361"/>
        <v>22222222.222222224</v>
      </c>
      <c r="AD335" s="605">
        <f t="shared" si="361"/>
        <v>22222222.222222224</v>
      </c>
      <c r="AE335" s="605">
        <f t="shared" si="361"/>
        <v>22222222.222222224</v>
      </c>
      <c r="AF335" s="605">
        <f t="shared" si="361"/>
        <v>22222222.222222224</v>
      </c>
      <c r="AG335" s="605">
        <f t="shared" si="361"/>
        <v>22222222.222222224</v>
      </c>
      <c r="AH335" s="605">
        <f t="shared" si="361"/>
        <v>22222222.222222224</v>
      </c>
      <c r="AI335" s="605"/>
      <c r="AJ335" s="593">
        <v>0</v>
      </c>
    </row>
    <row r="336" spans="2:36" ht="60" x14ac:dyDescent="0.2">
      <c r="B336" s="88"/>
      <c r="C336" s="89"/>
      <c r="D336" s="89"/>
      <c r="E336" s="89"/>
      <c r="F336" s="89"/>
      <c r="G336" s="89"/>
      <c r="H336" s="89"/>
      <c r="I336" s="89"/>
      <c r="J336" s="89"/>
      <c r="K336" s="96" t="s">
        <v>113724</v>
      </c>
      <c r="L336" s="91" t="s">
        <v>113170</v>
      </c>
      <c r="M336" s="438" t="s">
        <v>113720</v>
      </c>
      <c r="N336" s="93">
        <v>45693</v>
      </c>
      <c r="O336" s="93" t="s">
        <v>113060</v>
      </c>
      <c r="P336" s="94" t="s">
        <v>113155</v>
      </c>
      <c r="Q336" s="94" t="s">
        <v>113715</v>
      </c>
      <c r="R336" s="118">
        <v>700000000</v>
      </c>
      <c r="S336" s="573">
        <v>680015635</v>
      </c>
      <c r="T336" s="477"/>
      <c r="U336" s="96"/>
      <c r="V336" s="141"/>
      <c r="W336" s="400"/>
      <c r="X336" s="605"/>
      <c r="Y336" s="605"/>
      <c r="Z336" s="605"/>
      <c r="AA336" s="605"/>
      <c r="AB336" s="605"/>
      <c r="AC336" s="605"/>
      <c r="AD336" s="605">
        <v>120000000</v>
      </c>
      <c r="AE336" s="605">
        <v>150000000</v>
      </c>
      <c r="AF336" s="605">
        <v>175000000</v>
      </c>
      <c r="AG336" s="605">
        <v>235015635</v>
      </c>
      <c r="AH336" s="605"/>
      <c r="AI336" s="605"/>
      <c r="AJ336" s="593">
        <v>0</v>
      </c>
    </row>
    <row r="337" spans="2:36" ht="88.5" customHeight="1" x14ac:dyDescent="0.2">
      <c r="B337" s="88"/>
      <c r="C337" s="89"/>
      <c r="D337" s="89"/>
      <c r="E337" s="89"/>
      <c r="F337" s="89"/>
      <c r="G337" s="89"/>
      <c r="H337" s="89"/>
      <c r="I337" s="89"/>
      <c r="J337" s="89"/>
      <c r="K337" s="96" t="s">
        <v>113724</v>
      </c>
      <c r="L337" s="91">
        <v>81101500</v>
      </c>
      <c r="M337" s="438" t="s">
        <v>113721</v>
      </c>
      <c r="N337" s="93">
        <v>45662</v>
      </c>
      <c r="O337" s="93" t="s">
        <v>113060</v>
      </c>
      <c r="P337" s="94" t="s">
        <v>113022</v>
      </c>
      <c r="Q337" s="94" t="s">
        <v>113716</v>
      </c>
      <c r="R337" s="118">
        <v>110000000</v>
      </c>
      <c r="S337" s="573">
        <v>110000000</v>
      </c>
      <c r="T337" s="477"/>
      <c r="U337" s="96"/>
      <c r="V337" s="141"/>
      <c r="W337" s="400"/>
      <c r="X337" s="605"/>
      <c r="Y337" s="605"/>
      <c r="Z337" s="605"/>
      <c r="AA337" s="605"/>
      <c r="AB337" s="605"/>
      <c r="AC337" s="605"/>
      <c r="AD337" s="605">
        <f>$S$337/4</f>
        <v>27500000</v>
      </c>
      <c r="AE337" s="605">
        <f t="shared" ref="AE337:AG337" si="362">$S$337/4</f>
        <v>27500000</v>
      </c>
      <c r="AF337" s="605">
        <f t="shared" si="362"/>
        <v>27500000</v>
      </c>
      <c r="AG337" s="605">
        <f t="shared" si="362"/>
        <v>27500000</v>
      </c>
      <c r="AH337" s="605"/>
      <c r="AI337" s="605"/>
      <c r="AJ337" s="593">
        <v>0</v>
      </c>
    </row>
    <row r="338" spans="2:36" ht="75" x14ac:dyDescent="0.2">
      <c r="B338" s="88"/>
      <c r="C338" s="89"/>
      <c r="D338" s="89"/>
      <c r="E338" s="89"/>
      <c r="F338" s="89"/>
      <c r="G338" s="89"/>
      <c r="H338" s="89"/>
      <c r="I338" s="89"/>
      <c r="J338" s="89"/>
      <c r="K338" s="96" t="s">
        <v>113724</v>
      </c>
      <c r="L338" s="91" t="s">
        <v>113722</v>
      </c>
      <c r="M338" s="438" t="s">
        <v>113467</v>
      </c>
      <c r="N338" s="93">
        <v>45662</v>
      </c>
      <c r="O338" s="94" t="s">
        <v>113203</v>
      </c>
      <c r="P338" s="94" t="s">
        <v>113004</v>
      </c>
      <c r="Q338" s="94" t="s">
        <v>113498</v>
      </c>
      <c r="R338" s="118"/>
      <c r="S338" s="573">
        <v>38700000</v>
      </c>
      <c r="T338" s="477"/>
      <c r="U338" s="96"/>
      <c r="V338" s="141"/>
      <c r="W338" s="400"/>
      <c r="X338" s="605">
        <f>$S$338/9</f>
        <v>4300000</v>
      </c>
      <c r="Y338" s="605">
        <f>$S$338/9</f>
        <v>4300000</v>
      </c>
      <c r="Z338" s="605">
        <f t="shared" ref="Z338:AF338" si="363">$S$338/9</f>
        <v>4300000</v>
      </c>
      <c r="AA338" s="605">
        <f t="shared" si="363"/>
        <v>4300000</v>
      </c>
      <c r="AB338" s="605">
        <f t="shared" si="363"/>
        <v>4300000</v>
      </c>
      <c r="AC338" s="605">
        <f t="shared" si="363"/>
        <v>4300000</v>
      </c>
      <c r="AD338" s="605">
        <f t="shared" si="363"/>
        <v>4300000</v>
      </c>
      <c r="AE338" s="605">
        <f t="shared" si="363"/>
        <v>4300000</v>
      </c>
      <c r="AF338" s="605">
        <f t="shared" si="363"/>
        <v>4300000</v>
      </c>
      <c r="AG338" s="605"/>
      <c r="AH338" s="605"/>
      <c r="AI338" s="605"/>
      <c r="AJ338" s="593">
        <v>0</v>
      </c>
    </row>
    <row r="339" spans="2:36" ht="75" x14ac:dyDescent="0.2">
      <c r="B339" s="88"/>
      <c r="C339" s="89"/>
      <c r="D339" s="89"/>
      <c r="E339" s="89"/>
      <c r="F339" s="89"/>
      <c r="G339" s="89"/>
      <c r="H339" s="89"/>
      <c r="I339" s="89"/>
      <c r="J339" s="89"/>
      <c r="K339" s="96" t="s">
        <v>113724</v>
      </c>
      <c r="L339" s="91" t="s">
        <v>113722</v>
      </c>
      <c r="M339" s="438" t="s">
        <v>113467</v>
      </c>
      <c r="N339" s="93">
        <v>45693</v>
      </c>
      <c r="O339" s="94" t="s">
        <v>113037</v>
      </c>
      <c r="P339" s="94" t="s">
        <v>113818</v>
      </c>
      <c r="Q339" s="94" t="s">
        <v>113498</v>
      </c>
      <c r="R339" s="118"/>
      <c r="S339" s="573">
        <v>34400000</v>
      </c>
      <c r="T339" s="477"/>
      <c r="U339" s="96"/>
      <c r="V339" s="141"/>
      <c r="W339" s="400"/>
      <c r="X339" s="605"/>
      <c r="Y339" s="605">
        <f>$S$339/8</f>
        <v>4300000</v>
      </c>
      <c r="Z339" s="605">
        <f>$S$339/8</f>
        <v>4300000</v>
      </c>
      <c r="AA339" s="605">
        <f t="shared" ref="AA339:AF339" si="364">$S$339/8</f>
        <v>4300000</v>
      </c>
      <c r="AB339" s="605">
        <f t="shared" si="364"/>
        <v>4300000</v>
      </c>
      <c r="AC339" s="605">
        <f t="shared" si="364"/>
        <v>4300000</v>
      </c>
      <c r="AD339" s="605">
        <f t="shared" si="364"/>
        <v>4300000</v>
      </c>
      <c r="AE339" s="605">
        <f t="shared" si="364"/>
        <v>4300000</v>
      </c>
      <c r="AF339" s="605">
        <f t="shared" si="364"/>
        <v>4300000</v>
      </c>
      <c r="AG339" s="605"/>
      <c r="AH339" s="605"/>
      <c r="AI339" s="605"/>
      <c r="AJ339" s="593">
        <v>0</v>
      </c>
    </row>
    <row r="340" spans="2:36" ht="75" x14ac:dyDescent="0.2">
      <c r="B340" s="88"/>
      <c r="C340" s="89"/>
      <c r="D340" s="89"/>
      <c r="E340" s="89"/>
      <c r="F340" s="89"/>
      <c r="G340" s="89"/>
      <c r="H340" s="89"/>
      <c r="I340" s="89"/>
      <c r="J340" s="89"/>
      <c r="K340" s="96" t="s">
        <v>113724</v>
      </c>
      <c r="L340" s="91" t="s">
        <v>113722</v>
      </c>
      <c r="M340" s="438" t="s">
        <v>113468</v>
      </c>
      <c r="N340" s="93">
        <v>45662</v>
      </c>
      <c r="O340" s="94" t="s">
        <v>113203</v>
      </c>
      <c r="P340" s="94" t="s">
        <v>113022</v>
      </c>
      <c r="Q340" s="94" t="s">
        <v>113498</v>
      </c>
      <c r="R340" s="118"/>
      <c r="S340" s="573">
        <v>43000000</v>
      </c>
      <c r="T340" s="477"/>
      <c r="U340" s="96"/>
      <c r="V340" s="141"/>
      <c r="W340" s="400"/>
      <c r="X340" s="605"/>
      <c r="Y340" s="605">
        <f>$S$340/10</f>
        <v>4300000</v>
      </c>
      <c r="Z340" s="605">
        <f t="shared" ref="Z340:AH340" si="365">$S$340/10</f>
        <v>4300000</v>
      </c>
      <c r="AA340" s="605">
        <f t="shared" si="365"/>
        <v>4300000</v>
      </c>
      <c r="AB340" s="605">
        <f t="shared" si="365"/>
        <v>4300000</v>
      </c>
      <c r="AC340" s="605">
        <f t="shared" si="365"/>
        <v>4300000</v>
      </c>
      <c r="AD340" s="605">
        <f t="shared" si="365"/>
        <v>4300000</v>
      </c>
      <c r="AE340" s="605">
        <f t="shared" si="365"/>
        <v>4300000</v>
      </c>
      <c r="AF340" s="605">
        <f t="shared" si="365"/>
        <v>4300000</v>
      </c>
      <c r="AG340" s="605">
        <f t="shared" si="365"/>
        <v>4300000</v>
      </c>
      <c r="AH340" s="605">
        <f t="shared" si="365"/>
        <v>4300000</v>
      </c>
      <c r="AI340" s="605"/>
      <c r="AJ340" s="593">
        <v>0</v>
      </c>
    </row>
    <row r="341" spans="2:36" ht="75" x14ac:dyDescent="0.2">
      <c r="B341" s="88"/>
      <c r="C341" s="89"/>
      <c r="D341" s="89"/>
      <c r="E341" s="89"/>
      <c r="F341" s="89"/>
      <c r="G341" s="89"/>
      <c r="H341" s="89"/>
      <c r="I341" s="89"/>
      <c r="J341" s="89"/>
      <c r="K341" s="96" t="s">
        <v>113724</v>
      </c>
      <c r="L341" s="91" t="s">
        <v>113722</v>
      </c>
      <c r="M341" s="438" t="s">
        <v>113469</v>
      </c>
      <c r="N341" s="93">
        <v>45662</v>
      </c>
      <c r="O341" s="94" t="s">
        <v>113203</v>
      </c>
      <c r="P341" s="94" t="s">
        <v>113022</v>
      </c>
      <c r="Q341" s="94" t="s">
        <v>113498</v>
      </c>
      <c r="R341" s="118"/>
      <c r="S341" s="573">
        <v>43000000</v>
      </c>
      <c r="T341" s="477"/>
      <c r="U341" s="96"/>
      <c r="V341" s="141"/>
      <c r="W341" s="400"/>
      <c r="X341" s="605"/>
      <c r="Y341" s="605">
        <f>$S$341/10</f>
        <v>4300000</v>
      </c>
      <c r="Z341" s="605">
        <f t="shared" ref="Z341:AH341" si="366">$S$341/10</f>
        <v>4300000</v>
      </c>
      <c r="AA341" s="605">
        <f t="shared" si="366"/>
        <v>4300000</v>
      </c>
      <c r="AB341" s="605">
        <f t="shared" si="366"/>
        <v>4300000</v>
      </c>
      <c r="AC341" s="605">
        <f t="shared" si="366"/>
        <v>4300000</v>
      </c>
      <c r="AD341" s="605">
        <f t="shared" si="366"/>
        <v>4300000</v>
      </c>
      <c r="AE341" s="605">
        <f t="shared" si="366"/>
        <v>4300000</v>
      </c>
      <c r="AF341" s="605">
        <f t="shared" si="366"/>
        <v>4300000</v>
      </c>
      <c r="AG341" s="605">
        <f t="shared" si="366"/>
        <v>4300000</v>
      </c>
      <c r="AH341" s="605">
        <f t="shared" si="366"/>
        <v>4300000</v>
      </c>
      <c r="AI341" s="605"/>
      <c r="AJ341" s="593">
        <v>0</v>
      </c>
    </row>
    <row r="342" spans="2:36" ht="75" x14ac:dyDescent="0.2">
      <c r="B342" s="88"/>
      <c r="C342" s="89"/>
      <c r="D342" s="89"/>
      <c r="E342" s="89"/>
      <c r="F342" s="89"/>
      <c r="G342" s="89"/>
      <c r="H342" s="89"/>
      <c r="I342" s="89"/>
      <c r="J342" s="89"/>
      <c r="K342" s="96" t="s">
        <v>113724</v>
      </c>
      <c r="L342" s="91" t="s">
        <v>113722</v>
      </c>
      <c r="M342" s="438" t="s">
        <v>113470</v>
      </c>
      <c r="N342" s="93">
        <v>45693</v>
      </c>
      <c r="O342" s="94" t="s">
        <v>113037</v>
      </c>
      <c r="P342" s="94" t="s">
        <v>113022</v>
      </c>
      <c r="Q342" s="94" t="s">
        <v>113498</v>
      </c>
      <c r="R342" s="118"/>
      <c r="S342" s="573">
        <v>43000000</v>
      </c>
      <c r="T342" s="477"/>
      <c r="U342" s="96"/>
      <c r="V342" s="141"/>
      <c r="W342" s="400"/>
      <c r="X342" s="605"/>
      <c r="Y342" s="605">
        <f>$S$342/10</f>
        <v>4300000</v>
      </c>
      <c r="Z342" s="605">
        <f t="shared" ref="Z342:AH342" si="367">$S$342/10</f>
        <v>4300000</v>
      </c>
      <c r="AA342" s="605">
        <f t="shared" si="367"/>
        <v>4300000</v>
      </c>
      <c r="AB342" s="605">
        <f t="shared" si="367"/>
        <v>4300000</v>
      </c>
      <c r="AC342" s="605">
        <f t="shared" si="367"/>
        <v>4300000</v>
      </c>
      <c r="AD342" s="605">
        <f t="shared" si="367"/>
        <v>4300000</v>
      </c>
      <c r="AE342" s="605">
        <f t="shared" si="367"/>
        <v>4300000</v>
      </c>
      <c r="AF342" s="605">
        <f t="shared" si="367"/>
        <v>4300000</v>
      </c>
      <c r="AG342" s="605">
        <f t="shared" si="367"/>
        <v>4300000</v>
      </c>
      <c r="AH342" s="605">
        <f t="shared" si="367"/>
        <v>4300000</v>
      </c>
      <c r="AI342" s="605"/>
      <c r="AJ342" s="593">
        <v>0</v>
      </c>
    </row>
    <row r="343" spans="2:36" ht="75" x14ac:dyDescent="0.2">
      <c r="B343" s="88"/>
      <c r="C343" s="89"/>
      <c r="D343" s="89"/>
      <c r="E343" s="89"/>
      <c r="F343" s="89"/>
      <c r="G343" s="89"/>
      <c r="H343" s="89"/>
      <c r="I343" s="89"/>
      <c r="J343" s="89"/>
      <c r="K343" s="96" t="s">
        <v>113724</v>
      </c>
      <c r="L343" s="91" t="s">
        <v>113722</v>
      </c>
      <c r="M343" s="438" t="s">
        <v>113471</v>
      </c>
      <c r="N343" s="93">
        <v>45662</v>
      </c>
      <c r="O343" s="94" t="s">
        <v>113203</v>
      </c>
      <c r="P343" s="94" t="s">
        <v>113022</v>
      </c>
      <c r="Q343" s="94" t="s">
        <v>113498</v>
      </c>
      <c r="R343" s="118"/>
      <c r="S343" s="573">
        <v>43000000</v>
      </c>
      <c r="T343" s="477"/>
      <c r="U343" s="96"/>
      <c r="V343" s="141"/>
      <c r="W343" s="400"/>
      <c r="X343" s="605"/>
      <c r="Y343" s="605">
        <f>$S$343/10</f>
        <v>4300000</v>
      </c>
      <c r="Z343" s="605">
        <f t="shared" ref="Z343:AH343" si="368">$S$343/10</f>
        <v>4300000</v>
      </c>
      <c r="AA343" s="605">
        <f t="shared" si="368"/>
        <v>4300000</v>
      </c>
      <c r="AB343" s="605">
        <f t="shared" si="368"/>
        <v>4300000</v>
      </c>
      <c r="AC343" s="605">
        <f t="shared" si="368"/>
        <v>4300000</v>
      </c>
      <c r="AD343" s="605">
        <f t="shared" si="368"/>
        <v>4300000</v>
      </c>
      <c r="AE343" s="605">
        <f t="shared" si="368"/>
        <v>4300000</v>
      </c>
      <c r="AF343" s="605">
        <f t="shared" si="368"/>
        <v>4300000</v>
      </c>
      <c r="AG343" s="605">
        <f t="shared" si="368"/>
        <v>4300000</v>
      </c>
      <c r="AH343" s="605">
        <f t="shared" si="368"/>
        <v>4300000</v>
      </c>
      <c r="AI343" s="605"/>
      <c r="AJ343" s="593">
        <v>0</v>
      </c>
    </row>
    <row r="344" spans="2:36" ht="75" x14ac:dyDescent="0.2">
      <c r="B344" s="88"/>
      <c r="C344" s="89"/>
      <c r="D344" s="89"/>
      <c r="E344" s="89"/>
      <c r="F344" s="89"/>
      <c r="G344" s="89"/>
      <c r="H344" s="89"/>
      <c r="I344" s="89"/>
      <c r="J344" s="89"/>
      <c r="K344" s="96" t="s">
        <v>113724</v>
      </c>
      <c r="L344" s="91" t="s">
        <v>113722</v>
      </c>
      <c r="M344" s="438" t="s">
        <v>113471</v>
      </c>
      <c r="N344" s="93">
        <v>45693</v>
      </c>
      <c r="O344" s="94" t="s">
        <v>113037</v>
      </c>
      <c r="P344" s="94" t="s">
        <v>113022</v>
      </c>
      <c r="Q344" s="94" t="s">
        <v>113498</v>
      </c>
      <c r="R344" s="118"/>
      <c r="S344" s="573">
        <v>43000000</v>
      </c>
      <c r="T344" s="477"/>
      <c r="U344" s="96"/>
      <c r="V344" s="141"/>
      <c r="W344" s="400"/>
      <c r="X344" s="605"/>
      <c r="Y344" s="605">
        <f>$S$344/10</f>
        <v>4300000</v>
      </c>
      <c r="Z344" s="605">
        <f t="shared" ref="Z344:AH344" si="369">$S$344/10</f>
        <v>4300000</v>
      </c>
      <c r="AA344" s="605">
        <f t="shared" si="369"/>
        <v>4300000</v>
      </c>
      <c r="AB344" s="605">
        <f t="shared" si="369"/>
        <v>4300000</v>
      </c>
      <c r="AC344" s="605">
        <f t="shared" si="369"/>
        <v>4300000</v>
      </c>
      <c r="AD344" s="605">
        <f t="shared" si="369"/>
        <v>4300000</v>
      </c>
      <c r="AE344" s="605">
        <f t="shared" si="369"/>
        <v>4300000</v>
      </c>
      <c r="AF344" s="605">
        <f t="shared" si="369"/>
        <v>4300000</v>
      </c>
      <c r="AG344" s="605">
        <f t="shared" si="369"/>
        <v>4300000</v>
      </c>
      <c r="AH344" s="605">
        <f t="shared" si="369"/>
        <v>4300000</v>
      </c>
      <c r="AI344" s="605"/>
      <c r="AJ344" s="593">
        <v>0</v>
      </c>
    </row>
    <row r="345" spans="2:36" ht="75" x14ac:dyDescent="0.2">
      <c r="B345" s="88"/>
      <c r="C345" s="89"/>
      <c r="D345" s="89"/>
      <c r="E345" s="89"/>
      <c r="F345" s="89"/>
      <c r="G345" s="89"/>
      <c r="H345" s="89"/>
      <c r="I345" s="89"/>
      <c r="J345" s="89"/>
      <c r="K345" s="96" t="s">
        <v>113724</v>
      </c>
      <c r="L345" s="91" t="s">
        <v>113722</v>
      </c>
      <c r="M345" s="438" t="s">
        <v>113471</v>
      </c>
      <c r="N345" s="93">
        <v>45693</v>
      </c>
      <c r="O345" s="94" t="s">
        <v>113037</v>
      </c>
      <c r="P345" s="94" t="s">
        <v>113022</v>
      </c>
      <c r="Q345" s="94" t="s">
        <v>113498</v>
      </c>
      <c r="R345" s="587"/>
      <c r="S345" s="573">
        <v>43000000</v>
      </c>
      <c r="T345" s="477"/>
      <c r="U345" s="96"/>
      <c r="V345" s="141"/>
      <c r="W345" s="400"/>
      <c r="X345" s="605"/>
      <c r="Y345" s="605">
        <f>$S$345/10</f>
        <v>4300000</v>
      </c>
      <c r="Z345" s="605">
        <f t="shared" ref="Z345:AH345" si="370">$S$345/10</f>
        <v>4300000</v>
      </c>
      <c r="AA345" s="605">
        <f t="shared" si="370"/>
        <v>4300000</v>
      </c>
      <c r="AB345" s="605">
        <f t="shared" si="370"/>
        <v>4300000</v>
      </c>
      <c r="AC345" s="605">
        <f t="shared" si="370"/>
        <v>4300000</v>
      </c>
      <c r="AD345" s="605">
        <f t="shared" si="370"/>
        <v>4300000</v>
      </c>
      <c r="AE345" s="605">
        <f t="shared" si="370"/>
        <v>4300000</v>
      </c>
      <c r="AF345" s="605">
        <f t="shared" si="370"/>
        <v>4300000</v>
      </c>
      <c r="AG345" s="605">
        <f t="shared" si="370"/>
        <v>4300000</v>
      </c>
      <c r="AH345" s="605">
        <f t="shared" si="370"/>
        <v>4300000</v>
      </c>
      <c r="AI345" s="605"/>
      <c r="AJ345" s="593">
        <v>0</v>
      </c>
    </row>
    <row r="346" spans="2:36" ht="75" x14ac:dyDescent="0.2">
      <c r="B346" s="88"/>
      <c r="C346" s="89"/>
      <c r="D346" s="89"/>
      <c r="E346" s="89"/>
      <c r="F346" s="89"/>
      <c r="G346" s="89"/>
      <c r="H346" s="89"/>
      <c r="I346" s="89"/>
      <c r="J346" s="89"/>
      <c r="K346" s="96" t="s">
        <v>113724</v>
      </c>
      <c r="L346" s="91" t="s">
        <v>113722</v>
      </c>
      <c r="M346" s="438" t="s">
        <v>113472</v>
      </c>
      <c r="N346" s="93">
        <v>45662</v>
      </c>
      <c r="O346" s="94" t="s">
        <v>113203</v>
      </c>
      <c r="P346" s="94" t="s">
        <v>113022</v>
      </c>
      <c r="Q346" s="94" t="s">
        <v>113498</v>
      </c>
      <c r="R346" s="587"/>
      <c r="S346" s="573">
        <v>43000000</v>
      </c>
      <c r="T346" s="477"/>
      <c r="U346" s="96"/>
      <c r="V346" s="141"/>
      <c r="W346" s="400"/>
      <c r="X346" s="605">
        <f>$S$346/10</f>
        <v>4300000</v>
      </c>
      <c r="Y346" s="605">
        <f t="shared" ref="Y346:AH347" si="371">$S$346/10</f>
        <v>4300000</v>
      </c>
      <c r="Z346" s="605">
        <f t="shared" si="371"/>
        <v>4300000</v>
      </c>
      <c r="AA346" s="605">
        <f t="shared" si="371"/>
        <v>4300000</v>
      </c>
      <c r="AB346" s="605">
        <f t="shared" si="371"/>
        <v>4300000</v>
      </c>
      <c r="AC346" s="605">
        <f t="shared" si="371"/>
        <v>4300000</v>
      </c>
      <c r="AD346" s="605">
        <f t="shared" si="371"/>
        <v>4300000</v>
      </c>
      <c r="AE346" s="605">
        <f t="shared" si="371"/>
        <v>4300000</v>
      </c>
      <c r="AF346" s="605">
        <f t="shared" si="371"/>
        <v>4300000</v>
      </c>
      <c r="AG346" s="605">
        <f t="shared" si="371"/>
        <v>4300000</v>
      </c>
      <c r="AH346" s="605"/>
      <c r="AI346" s="605"/>
      <c r="AJ346" s="593">
        <v>0</v>
      </c>
    </row>
    <row r="347" spans="2:36" ht="75" x14ac:dyDescent="0.2">
      <c r="B347" s="88"/>
      <c r="C347" s="89"/>
      <c r="D347" s="89"/>
      <c r="E347" s="89"/>
      <c r="F347" s="89"/>
      <c r="G347" s="89"/>
      <c r="H347" s="89"/>
      <c r="I347" s="89"/>
      <c r="J347" s="89"/>
      <c r="K347" s="96" t="s">
        <v>113724</v>
      </c>
      <c r="L347" s="91" t="s">
        <v>113722</v>
      </c>
      <c r="M347" s="438" t="s">
        <v>113472</v>
      </c>
      <c r="N347" s="93">
        <v>45662</v>
      </c>
      <c r="O347" s="94" t="s">
        <v>113203</v>
      </c>
      <c r="P347" s="94" t="s">
        <v>113022</v>
      </c>
      <c r="Q347" s="94" t="s">
        <v>113498</v>
      </c>
      <c r="R347" s="118"/>
      <c r="S347" s="573">
        <v>43000000</v>
      </c>
      <c r="T347" s="477"/>
      <c r="U347" s="96"/>
      <c r="V347" s="141"/>
      <c r="W347" s="400"/>
      <c r="X347" s="605"/>
      <c r="Y347" s="605">
        <f>$S$346/10</f>
        <v>4300000</v>
      </c>
      <c r="Z347" s="605">
        <f t="shared" si="371"/>
        <v>4300000</v>
      </c>
      <c r="AA347" s="605">
        <f t="shared" si="371"/>
        <v>4300000</v>
      </c>
      <c r="AB347" s="605">
        <f t="shared" si="371"/>
        <v>4300000</v>
      </c>
      <c r="AC347" s="605">
        <f t="shared" si="371"/>
        <v>4300000</v>
      </c>
      <c r="AD347" s="605">
        <f t="shared" si="371"/>
        <v>4300000</v>
      </c>
      <c r="AE347" s="605">
        <f t="shared" si="371"/>
        <v>4300000</v>
      </c>
      <c r="AF347" s="605">
        <f t="shared" si="371"/>
        <v>4300000</v>
      </c>
      <c r="AG347" s="605">
        <f t="shared" si="371"/>
        <v>4300000</v>
      </c>
      <c r="AH347" s="605">
        <f t="shared" si="371"/>
        <v>4300000</v>
      </c>
      <c r="AI347" s="605"/>
      <c r="AJ347" s="593">
        <v>0</v>
      </c>
    </row>
    <row r="348" spans="2:36" ht="75" x14ac:dyDescent="0.2">
      <c r="B348" s="88"/>
      <c r="C348" s="89"/>
      <c r="D348" s="89"/>
      <c r="E348" s="89"/>
      <c r="F348" s="89"/>
      <c r="G348" s="89"/>
      <c r="H348" s="89"/>
      <c r="I348" s="89"/>
      <c r="J348" s="89"/>
      <c r="K348" s="96" t="s">
        <v>113724</v>
      </c>
      <c r="L348" s="91" t="s">
        <v>113722</v>
      </c>
      <c r="M348" s="438" t="s">
        <v>113473</v>
      </c>
      <c r="N348" s="93">
        <v>45719</v>
      </c>
      <c r="O348" s="94" t="s">
        <v>113001</v>
      </c>
      <c r="P348" s="94" t="s">
        <v>113045</v>
      </c>
      <c r="Q348" s="94" t="s">
        <v>113498</v>
      </c>
      <c r="R348" s="587"/>
      <c r="S348" s="573">
        <v>8600000</v>
      </c>
      <c r="T348" s="477"/>
      <c r="U348" s="96"/>
      <c r="V348" s="141"/>
      <c r="W348" s="400"/>
      <c r="X348" s="605"/>
      <c r="Y348" s="605"/>
      <c r="Z348" s="605">
        <v>4300000</v>
      </c>
      <c r="AA348" s="605">
        <v>4300000</v>
      </c>
      <c r="AB348" s="605"/>
      <c r="AC348" s="605"/>
      <c r="AD348" s="605"/>
      <c r="AE348" s="605"/>
      <c r="AF348" s="605"/>
      <c r="AG348" s="605"/>
      <c r="AH348" s="605"/>
      <c r="AI348" s="605"/>
      <c r="AJ348" s="593">
        <v>0</v>
      </c>
    </row>
    <row r="349" spans="2:36" ht="75" x14ac:dyDescent="0.2">
      <c r="B349" s="88"/>
      <c r="C349" s="89"/>
      <c r="D349" s="89"/>
      <c r="E349" s="89"/>
      <c r="F349" s="89"/>
      <c r="G349" s="89"/>
      <c r="H349" s="89"/>
      <c r="I349" s="89"/>
      <c r="J349" s="89"/>
      <c r="K349" s="96" t="s">
        <v>113724</v>
      </c>
      <c r="L349" s="91" t="s">
        <v>113722</v>
      </c>
      <c r="M349" s="438" t="s">
        <v>113474</v>
      </c>
      <c r="N349" s="93">
        <v>45693</v>
      </c>
      <c r="O349" s="94" t="s">
        <v>113037</v>
      </c>
      <c r="P349" s="94" t="s">
        <v>113022</v>
      </c>
      <c r="Q349" s="94" t="s">
        <v>113498</v>
      </c>
      <c r="R349" s="118"/>
      <c r="S349" s="573">
        <v>34000000</v>
      </c>
      <c r="T349" s="477"/>
      <c r="U349" s="96"/>
      <c r="V349" s="141"/>
      <c r="W349" s="400"/>
      <c r="X349" s="605"/>
      <c r="Y349" s="605">
        <f>$S$349/10</f>
        <v>3400000</v>
      </c>
      <c r="Z349" s="605">
        <f t="shared" ref="Z349:AG349" si="372">$S$349/10</f>
        <v>3400000</v>
      </c>
      <c r="AA349" s="605">
        <f t="shared" si="372"/>
        <v>3400000</v>
      </c>
      <c r="AB349" s="605">
        <f t="shared" si="372"/>
        <v>3400000</v>
      </c>
      <c r="AC349" s="605">
        <f t="shared" si="372"/>
        <v>3400000</v>
      </c>
      <c r="AD349" s="605">
        <f t="shared" si="372"/>
        <v>3400000</v>
      </c>
      <c r="AE349" s="605">
        <f t="shared" si="372"/>
        <v>3400000</v>
      </c>
      <c r="AF349" s="605">
        <f t="shared" si="372"/>
        <v>3400000</v>
      </c>
      <c r="AG349" s="605">
        <f t="shared" si="372"/>
        <v>3400000</v>
      </c>
      <c r="AH349" s="605">
        <f>$S$349/10</f>
        <v>3400000</v>
      </c>
      <c r="AI349" s="605"/>
      <c r="AJ349" s="593">
        <v>0</v>
      </c>
    </row>
    <row r="350" spans="2:36" ht="75" x14ac:dyDescent="0.2">
      <c r="B350" s="88"/>
      <c r="C350" s="89"/>
      <c r="D350" s="89"/>
      <c r="E350" s="89"/>
      <c r="F350" s="89"/>
      <c r="G350" s="89"/>
      <c r="H350" s="89"/>
      <c r="I350" s="89"/>
      <c r="J350" s="89"/>
      <c r="K350" s="96" t="s">
        <v>113724</v>
      </c>
      <c r="L350" s="91" t="s">
        <v>113722</v>
      </c>
      <c r="M350" s="438" t="s">
        <v>113475</v>
      </c>
      <c r="N350" s="93">
        <v>45662</v>
      </c>
      <c r="O350" s="94" t="s">
        <v>113203</v>
      </c>
      <c r="P350" s="94" t="s">
        <v>113022</v>
      </c>
      <c r="Q350" s="94" t="s">
        <v>113498</v>
      </c>
      <c r="R350" s="118"/>
      <c r="S350" s="573">
        <v>34000000</v>
      </c>
      <c r="T350" s="477"/>
      <c r="U350" s="96"/>
      <c r="V350" s="141"/>
      <c r="W350" s="400"/>
      <c r="X350" s="605"/>
      <c r="Y350" s="605">
        <f>$S$350/10</f>
        <v>3400000</v>
      </c>
      <c r="Z350" s="605">
        <f t="shared" ref="Z350:AH350" si="373">$S$350/10</f>
        <v>3400000</v>
      </c>
      <c r="AA350" s="605">
        <f t="shared" si="373"/>
        <v>3400000</v>
      </c>
      <c r="AB350" s="605">
        <f t="shared" si="373"/>
        <v>3400000</v>
      </c>
      <c r="AC350" s="605">
        <f t="shared" si="373"/>
        <v>3400000</v>
      </c>
      <c r="AD350" s="605">
        <f t="shared" si="373"/>
        <v>3400000</v>
      </c>
      <c r="AE350" s="605">
        <f t="shared" si="373"/>
        <v>3400000</v>
      </c>
      <c r="AF350" s="605">
        <f t="shared" si="373"/>
        <v>3400000</v>
      </c>
      <c r="AG350" s="605">
        <f t="shared" si="373"/>
        <v>3400000</v>
      </c>
      <c r="AH350" s="605">
        <f t="shared" si="373"/>
        <v>3400000</v>
      </c>
      <c r="AI350" s="605"/>
      <c r="AJ350" s="593">
        <v>0</v>
      </c>
    </row>
    <row r="351" spans="2:36" ht="75" x14ac:dyDescent="0.2">
      <c r="B351" s="88"/>
      <c r="C351" s="89"/>
      <c r="D351" s="89"/>
      <c r="E351" s="89"/>
      <c r="F351" s="89"/>
      <c r="G351" s="89"/>
      <c r="H351" s="89"/>
      <c r="I351" s="89"/>
      <c r="J351" s="89"/>
      <c r="K351" s="96" t="s">
        <v>113724</v>
      </c>
      <c r="L351" s="91" t="s">
        <v>113722</v>
      </c>
      <c r="M351" s="438" t="s">
        <v>113475</v>
      </c>
      <c r="N351" s="93">
        <v>45662</v>
      </c>
      <c r="O351" s="94" t="s">
        <v>113203</v>
      </c>
      <c r="P351" s="94" t="s">
        <v>113022</v>
      </c>
      <c r="Q351" s="94" t="s">
        <v>113498</v>
      </c>
      <c r="R351" s="587"/>
      <c r="S351" s="573">
        <v>34000000</v>
      </c>
      <c r="T351" s="477"/>
      <c r="U351" s="96"/>
      <c r="V351" s="141"/>
      <c r="W351" s="400"/>
      <c r="X351" s="605"/>
      <c r="Y351" s="605">
        <f>$S$351/10</f>
        <v>3400000</v>
      </c>
      <c r="Z351" s="605">
        <f t="shared" ref="Z351:AH351" si="374">$S$351/10</f>
        <v>3400000</v>
      </c>
      <c r="AA351" s="605">
        <f t="shared" si="374"/>
        <v>3400000</v>
      </c>
      <c r="AB351" s="605">
        <f t="shared" si="374"/>
        <v>3400000</v>
      </c>
      <c r="AC351" s="605">
        <f t="shared" si="374"/>
        <v>3400000</v>
      </c>
      <c r="AD351" s="605">
        <f t="shared" si="374"/>
        <v>3400000</v>
      </c>
      <c r="AE351" s="605">
        <f t="shared" si="374"/>
        <v>3400000</v>
      </c>
      <c r="AF351" s="605">
        <f t="shared" si="374"/>
        <v>3400000</v>
      </c>
      <c r="AG351" s="605">
        <f t="shared" si="374"/>
        <v>3400000</v>
      </c>
      <c r="AH351" s="605">
        <f t="shared" si="374"/>
        <v>3400000</v>
      </c>
      <c r="AI351" s="605"/>
      <c r="AJ351" s="593">
        <v>0</v>
      </c>
    </row>
    <row r="352" spans="2:36" ht="75" x14ac:dyDescent="0.2">
      <c r="B352" s="88"/>
      <c r="C352" s="89"/>
      <c r="D352" s="89"/>
      <c r="E352" s="89"/>
      <c r="F352" s="89"/>
      <c r="G352" s="89"/>
      <c r="H352" s="89"/>
      <c r="I352" s="89"/>
      <c r="J352" s="89"/>
      <c r="K352" s="96" t="s">
        <v>113724</v>
      </c>
      <c r="L352" s="91" t="s">
        <v>113722</v>
      </c>
      <c r="M352" s="438" t="s">
        <v>113477</v>
      </c>
      <c r="N352" s="93">
        <v>45662</v>
      </c>
      <c r="O352" s="94" t="s">
        <v>113203</v>
      </c>
      <c r="P352" s="94" t="s">
        <v>113022</v>
      </c>
      <c r="Q352" s="94" t="s">
        <v>113498</v>
      </c>
      <c r="R352" s="587"/>
      <c r="S352" s="573">
        <v>60000000</v>
      </c>
      <c r="T352" s="477"/>
      <c r="U352" s="96"/>
      <c r="V352" s="141"/>
      <c r="W352" s="400"/>
      <c r="X352" s="605"/>
      <c r="Y352" s="605">
        <f>$S$352/10</f>
        <v>6000000</v>
      </c>
      <c r="Z352" s="605">
        <f t="shared" ref="Z352:AH352" si="375">$S$352/10</f>
        <v>6000000</v>
      </c>
      <c r="AA352" s="605">
        <f t="shared" si="375"/>
        <v>6000000</v>
      </c>
      <c r="AB352" s="605">
        <f t="shared" si="375"/>
        <v>6000000</v>
      </c>
      <c r="AC352" s="605">
        <f t="shared" si="375"/>
        <v>6000000</v>
      </c>
      <c r="AD352" s="605">
        <f t="shared" si="375"/>
        <v>6000000</v>
      </c>
      <c r="AE352" s="605">
        <f t="shared" si="375"/>
        <v>6000000</v>
      </c>
      <c r="AF352" s="605">
        <f t="shared" si="375"/>
        <v>6000000</v>
      </c>
      <c r="AG352" s="605">
        <f t="shared" si="375"/>
        <v>6000000</v>
      </c>
      <c r="AH352" s="605">
        <f t="shared" si="375"/>
        <v>6000000</v>
      </c>
      <c r="AI352" s="605"/>
      <c r="AJ352" s="593">
        <v>0</v>
      </c>
    </row>
    <row r="353" spans="2:36" ht="75" x14ac:dyDescent="0.2">
      <c r="B353" s="88"/>
      <c r="C353" s="89"/>
      <c r="D353" s="89"/>
      <c r="E353" s="89"/>
      <c r="F353" s="89"/>
      <c r="G353" s="89"/>
      <c r="H353" s="89"/>
      <c r="I353" s="89"/>
      <c r="J353" s="89"/>
      <c r="K353" s="96" t="s">
        <v>113724</v>
      </c>
      <c r="L353" s="91" t="s">
        <v>113722</v>
      </c>
      <c r="M353" s="438" t="s">
        <v>113478</v>
      </c>
      <c r="N353" s="93">
        <v>45662</v>
      </c>
      <c r="O353" s="94" t="s">
        <v>113203</v>
      </c>
      <c r="P353" s="94" t="s">
        <v>113022</v>
      </c>
      <c r="Q353" s="94" t="s">
        <v>113498</v>
      </c>
      <c r="R353" s="587"/>
      <c r="S353" s="573">
        <v>60000000</v>
      </c>
      <c r="T353" s="477"/>
      <c r="U353" s="96"/>
      <c r="V353" s="141"/>
      <c r="W353" s="400"/>
      <c r="X353" s="605"/>
      <c r="Y353" s="605">
        <f>$S$353/10</f>
        <v>6000000</v>
      </c>
      <c r="Z353" s="605">
        <f t="shared" ref="Z353:AH353" si="376">$S$353/10</f>
        <v>6000000</v>
      </c>
      <c r="AA353" s="605">
        <f t="shared" si="376"/>
        <v>6000000</v>
      </c>
      <c r="AB353" s="605">
        <f t="shared" si="376"/>
        <v>6000000</v>
      </c>
      <c r="AC353" s="605">
        <f t="shared" si="376"/>
        <v>6000000</v>
      </c>
      <c r="AD353" s="605">
        <f t="shared" si="376"/>
        <v>6000000</v>
      </c>
      <c r="AE353" s="605">
        <f t="shared" si="376"/>
        <v>6000000</v>
      </c>
      <c r="AF353" s="605">
        <f t="shared" si="376"/>
        <v>6000000</v>
      </c>
      <c r="AG353" s="605">
        <f t="shared" si="376"/>
        <v>6000000</v>
      </c>
      <c r="AH353" s="605">
        <f t="shared" si="376"/>
        <v>6000000</v>
      </c>
      <c r="AI353" s="605"/>
      <c r="AJ353" s="593">
        <v>0</v>
      </c>
    </row>
    <row r="354" spans="2:36" ht="75" x14ac:dyDescent="0.2">
      <c r="B354" s="88"/>
      <c r="C354" s="89"/>
      <c r="D354" s="89"/>
      <c r="E354" s="89"/>
      <c r="F354" s="89"/>
      <c r="G354" s="89"/>
      <c r="H354" s="89"/>
      <c r="I354" s="89"/>
      <c r="J354" s="89"/>
      <c r="K354" s="96" t="s">
        <v>113724</v>
      </c>
      <c r="L354" s="91" t="s">
        <v>113722</v>
      </c>
      <c r="M354" s="438" t="s">
        <v>113479</v>
      </c>
      <c r="N354" s="93">
        <v>45662</v>
      </c>
      <c r="O354" s="94" t="s">
        <v>113203</v>
      </c>
      <c r="P354" s="94" t="s">
        <v>113022</v>
      </c>
      <c r="Q354" s="94" t="s">
        <v>113498</v>
      </c>
      <c r="R354" s="118"/>
      <c r="S354" s="573">
        <v>60000000</v>
      </c>
      <c r="T354" s="477"/>
      <c r="U354" s="96"/>
      <c r="V354" s="141"/>
      <c r="W354" s="400"/>
      <c r="X354" s="605"/>
      <c r="Y354" s="605">
        <f>$S$354/10</f>
        <v>6000000</v>
      </c>
      <c r="Z354" s="605">
        <f t="shared" ref="Z354:AH354" si="377">$S$354/10</f>
        <v>6000000</v>
      </c>
      <c r="AA354" s="605">
        <f t="shared" si="377"/>
        <v>6000000</v>
      </c>
      <c r="AB354" s="605">
        <f t="shared" si="377"/>
        <v>6000000</v>
      </c>
      <c r="AC354" s="605">
        <f t="shared" si="377"/>
        <v>6000000</v>
      </c>
      <c r="AD354" s="605">
        <f t="shared" si="377"/>
        <v>6000000</v>
      </c>
      <c r="AE354" s="605">
        <f t="shared" si="377"/>
        <v>6000000</v>
      </c>
      <c r="AF354" s="605">
        <f t="shared" si="377"/>
        <v>6000000</v>
      </c>
      <c r="AG354" s="605">
        <f t="shared" si="377"/>
        <v>6000000</v>
      </c>
      <c r="AH354" s="605">
        <f t="shared" si="377"/>
        <v>6000000</v>
      </c>
      <c r="AI354" s="605"/>
      <c r="AJ354" s="593">
        <v>0</v>
      </c>
    </row>
    <row r="355" spans="2:36" ht="75" x14ac:dyDescent="0.2">
      <c r="B355" s="88"/>
      <c r="C355" s="89"/>
      <c r="D355" s="89"/>
      <c r="E355" s="89"/>
      <c r="F355" s="89"/>
      <c r="G355" s="89"/>
      <c r="H355" s="89"/>
      <c r="I355" s="89"/>
      <c r="J355" s="89"/>
      <c r="K355" s="96" t="s">
        <v>113724</v>
      </c>
      <c r="L355" s="91" t="s">
        <v>113722</v>
      </c>
      <c r="M355" s="438" t="s">
        <v>113479</v>
      </c>
      <c r="N355" s="93">
        <v>45782</v>
      </c>
      <c r="O355" s="94" t="s">
        <v>113203</v>
      </c>
      <c r="P355" s="94" t="s">
        <v>113155</v>
      </c>
      <c r="Q355" s="94" t="s">
        <v>113498</v>
      </c>
      <c r="R355" s="587"/>
      <c r="S355" s="573">
        <v>30000000</v>
      </c>
      <c r="T355" s="477"/>
      <c r="U355" s="96"/>
      <c r="V355" s="141"/>
      <c r="W355" s="400"/>
      <c r="X355" s="605"/>
      <c r="Y355" s="605"/>
      <c r="Z355" s="605"/>
      <c r="AA355" s="605"/>
      <c r="AB355" s="605"/>
      <c r="AC355" s="605">
        <f>$S$355/5</f>
        <v>6000000</v>
      </c>
      <c r="AD355" s="605">
        <f t="shared" ref="AD355:AG355" si="378">$S$355/5</f>
        <v>6000000</v>
      </c>
      <c r="AE355" s="605">
        <f t="shared" si="378"/>
        <v>6000000</v>
      </c>
      <c r="AF355" s="605">
        <f t="shared" si="378"/>
        <v>6000000</v>
      </c>
      <c r="AG355" s="605">
        <f t="shared" si="378"/>
        <v>6000000</v>
      </c>
      <c r="AH355" s="605"/>
      <c r="AI355" s="605"/>
      <c r="AJ355" s="593">
        <v>0</v>
      </c>
    </row>
    <row r="356" spans="2:36" ht="75" x14ac:dyDescent="0.2">
      <c r="B356" s="88"/>
      <c r="C356" s="89"/>
      <c r="D356" s="89"/>
      <c r="E356" s="89"/>
      <c r="F356" s="89"/>
      <c r="G356" s="89"/>
      <c r="H356" s="89"/>
      <c r="I356" s="89"/>
      <c r="J356" s="89"/>
      <c r="K356" s="96" t="s">
        <v>113724</v>
      </c>
      <c r="L356" s="91" t="s">
        <v>113722</v>
      </c>
      <c r="M356" s="438" t="s">
        <v>113480</v>
      </c>
      <c r="N356" s="93">
        <v>45689</v>
      </c>
      <c r="O356" s="94" t="s">
        <v>113037</v>
      </c>
      <c r="P356" s="94" t="s">
        <v>113819</v>
      </c>
      <c r="Q356" s="94" t="s">
        <v>113498</v>
      </c>
      <c r="R356" s="587"/>
      <c r="S356" s="573">
        <v>54000000</v>
      </c>
      <c r="T356" s="477"/>
      <c r="U356" s="96"/>
      <c r="V356" s="141"/>
      <c r="W356" s="400"/>
      <c r="X356" s="605">
        <f>$S$356/9</f>
        <v>6000000</v>
      </c>
      <c r="Y356" s="605">
        <f t="shared" ref="Y356:AF356" si="379">$S$356/9</f>
        <v>6000000</v>
      </c>
      <c r="Z356" s="605">
        <f t="shared" si="379"/>
        <v>6000000</v>
      </c>
      <c r="AA356" s="605">
        <f t="shared" si="379"/>
        <v>6000000</v>
      </c>
      <c r="AB356" s="605">
        <f t="shared" si="379"/>
        <v>6000000</v>
      </c>
      <c r="AC356" s="605">
        <f t="shared" si="379"/>
        <v>6000000</v>
      </c>
      <c r="AD356" s="605">
        <f t="shared" si="379"/>
        <v>6000000</v>
      </c>
      <c r="AE356" s="605">
        <f t="shared" si="379"/>
        <v>6000000</v>
      </c>
      <c r="AF356" s="605">
        <f t="shared" si="379"/>
        <v>6000000</v>
      </c>
      <c r="AG356" s="605"/>
      <c r="AH356" s="605"/>
      <c r="AI356" s="605"/>
      <c r="AJ356" s="593">
        <v>0</v>
      </c>
    </row>
    <row r="357" spans="2:36" ht="75" x14ac:dyDescent="0.2">
      <c r="B357" s="88"/>
      <c r="C357" s="89"/>
      <c r="D357" s="89"/>
      <c r="E357" s="89"/>
      <c r="F357" s="89"/>
      <c r="G357" s="89"/>
      <c r="H357" s="89"/>
      <c r="I357" s="89"/>
      <c r="J357" s="89"/>
      <c r="K357" s="96" t="s">
        <v>113726</v>
      </c>
      <c r="L357" s="91" t="s">
        <v>113820</v>
      </c>
      <c r="M357" s="438" t="s">
        <v>113480</v>
      </c>
      <c r="N357" s="93">
        <v>45662</v>
      </c>
      <c r="O357" s="94" t="s">
        <v>113203</v>
      </c>
      <c r="P357" s="94" t="s">
        <v>113817</v>
      </c>
      <c r="Q357" s="94" t="s">
        <v>113498</v>
      </c>
      <c r="R357" s="587"/>
      <c r="S357" s="573">
        <v>36000000</v>
      </c>
      <c r="T357" s="477"/>
      <c r="U357" s="96"/>
      <c r="V357" s="141"/>
      <c r="W357" s="400"/>
      <c r="X357" s="605">
        <f>$S$357/6</f>
        <v>6000000</v>
      </c>
      <c r="Y357" s="605">
        <f t="shared" ref="Y357:AC357" si="380">$S$357/6</f>
        <v>6000000</v>
      </c>
      <c r="Z357" s="605">
        <f t="shared" si="380"/>
        <v>6000000</v>
      </c>
      <c r="AA357" s="605">
        <f t="shared" si="380"/>
        <v>6000000</v>
      </c>
      <c r="AB357" s="605">
        <f t="shared" si="380"/>
        <v>6000000</v>
      </c>
      <c r="AC357" s="605">
        <f t="shared" si="380"/>
        <v>6000000</v>
      </c>
      <c r="AD357" s="605"/>
      <c r="AE357" s="605"/>
      <c r="AF357" s="605"/>
      <c r="AG357" s="605"/>
      <c r="AH357" s="605"/>
      <c r="AI357" s="605"/>
      <c r="AJ357" s="593"/>
    </row>
    <row r="358" spans="2:36" ht="30" x14ac:dyDescent="0.2">
      <c r="B358" s="88"/>
      <c r="C358" s="89"/>
      <c r="D358" s="89"/>
      <c r="E358" s="89"/>
      <c r="F358" s="89"/>
      <c r="G358" s="89"/>
      <c r="H358" s="89"/>
      <c r="I358" s="89"/>
      <c r="J358" s="89"/>
      <c r="K358" s="96" t="s">
        <v>113724</v>
      </c>
      <c r="L358" s="91">
        <v>90121600</v>
      </c>
      <c r="M358" s="439" t="s">
        <v>113481</v>
      </c>
      <c r="N358" s="93">
        <v>45662</v>
      </c>
      <c r="O358" s="93" t="s">
        <v>113060</v>
      </c>
      <c r="P358" s="94" t="s">
        <v>113022</v>
      </c>
      <c r="Q358" s="94" t="s">
        <v>113008</v>
      </c>
      <c r="R358" s="118">
        <v>35000000</v>
      </c>
      <c r="S358" s="573">
        <v>35000000</v>
      </c>
      <c r="T358" s="477"/>
      <c r="U358" s="96"/>
      <c r="V358" s="141"/>
      <c r="W358" s="400"/>
      <c r="X358" s="605"/>
      <c r="Y358" s="605">
        <v>6000000</v>
      </c>
      <c r="Z358" s="605"/>
      <c r="AA358" s="605"/>
      <c r="AB358" s="605"/>
      <c r="AC358" s="605">
        <v>10000000</v>
      </c>
      <c r="AD358" s="605"/>
      <c r="AE358" s="605"/>
      <c r="AF358" s="605">
        <v>10000000</v>
      </c>
      <c r="AG358" s="605"/>
      <c r="AH358" s="605"/>
      <c r="AI358" s="605">
        <v>9000000</v>
      </c>
      <c r="AJ358" s="593">
        <v>0</v>
      </c>
    </row>
    <row r="359" spans="2:36" x14ac:dyDescent="0.2">
      <c r="B359" s="88"/>
      <c r="C359" s="89"/>
      <c r="D359" s="89"/>
      <c r="E359" s="89"/>
      <c r="F359" s="89"/>
      <c r="G359" s="89"/>
      <c r="H359" s="89"/>
      <c r="I359" s="89"/>
      <c r="J359" s="89"/>
      <c r="K359" s="96" t="s">
        <v>113724</v>
      </c>
      <c r="L359" s="91">
        <v>90111500</v>
      </c>
      <c r="M359" s="439" t="s">
        <v>113482</v>
      </c>
      <c r="N359" s="93"/>
      <c r="O359" s="93"/>
      <c r="P359" s="94"/>
      <c r="Q359" s="94"/>
      <c r="R359" s="118">
        <v>45400000</v>
      </c>
      <c r="S359" s="573">
        <v>45400000</v>
      </c>
      <c r="T359" s="477"/>
      <c r="U359" s="96"/>
      <c r="V359" s="141"/>
      <c r="W359" s="400"/>
      <c r="X359" s="605">
        <v>3000000</v>
      </c>
      <c r="Y359" s="605">
        <v>3000000</v>
      </c>
      <c r="Z359" s="605">
        <v>3000000</v>
      </c>
      <c r="AA359" s="605">
        <v>3000000</v>
      </c>
      <c r="AB359" s="605">
        <v>6000000</v>
      </c>
      <c r="AC359" s="605">
        <v>8000000</v>
      </c>
      <c r="AD359" s="605">
        <v>3000000</v>
      </c>
      <c r="AE359" s="605">
        <v>2000000</v>
      </c>
      <c r="AF359" s="605">
        <v>6000000</v>
      </c>
      <c r="AG359" s="605">
        <v>3000000</v>
      </c>
      <c r="AH359" s="605">
        <v>3000000</v>
      </c>
      <c r="AI359" s="605">
        <v>2400000</v>
      </c>
      <c r="AJ359" s="593">
        <v>0</v>
      </c>
    </row>
    <row r="360" spans="2:36" x14ac:dyDescent="0.2">
      <c r="B360" s="88"/>
      <c r="C360" s="89"/>
      <c r="D360" s="89"/>
      <c r="E360" s="89"/>
      <c r="F360" s="89"/>
      <c r="G360" s="89"/>
      <c r="H360" s="89"/>
      <c r="I360" s="89"/>
      <c r="J360" s="89"/>
      <c r="K360" s="96" t="s">
        <v>113724</v>
      </c>
      <c r="L360" s="91"/>
      <c r="M360" s="92" t="s">
        <v>113483</v>
      </c>
      <c r="N360" s="93"/>
      <c r="O360" s="93"/>
      <c r="P360" s="94"/>
      <c r="Q360" s="94"/>
      <c r="R360" s="118">
        <f>360000000+65000000</f>
        <v>425000000</v>
      </c>
      <c r="S360" s="573">
        <v>425000000</v>
      </c>
      <c r="T360" s="477"/>
      <c r="U360" s="96"/>
      <c r="V360" s="141"/>
      <c r="W360" s="400"/>
      <c r="X360" s="605"/>
      <c r="Y360" s="605"/>
      <c r="Z360" s="605">
        <v>300000000</v>
      </c>
      <c r="AA360" s="605"/>
      <c r="AB360" s="605"/>
      <c r="AC360" s="605"/>
      <c r="AD360" s="605"/>
      <c r="AE360" s="605"/>
      <c r="AF360" s="605"/>
      <c r="AG360" s="605">
        <v>125000000</v>
      </c>
      <c r="AH360" s="605"/>
      <c r="AI360" s="605"/>
      <c r="AJ360" s="593">
        <v>0</v>
      </c>
    </row>
    <row r="361" spans="2:36" x14ac:dyDescent="0.2">
      <c r="B361" s="88"/>
      <c r="C361" s="89"/>
      <c r="D361" s="89"/>
      <c r="E361" s="89"/>
      <c r="F361" s="89"/>
      <c r="G361" s="89"/>
      <c r="H361" s="89"/>
      <c r="I361" s="89"/>
      <c r="J361" s="89"/>
      <c r="K361" s="96" t="s">
        <v>113724</v>
      </c>
      <c r="L361" s="91"/>
      <c r="M361" s="92" t="s">
        <v>113032</v>
      </c>
      <c r="N361" s="93"/>
      <c r="O361" s="93"/>
      <c r="P361" s="94"/>
      <c r="Q361" s="94"/>
      <c r="R361" s="118">
        <v>52000000</v>
      </c>
      <c r="S361" s="573">
        <v>52000000</v>
      </c>
      <c r="T361" s="477"/>
      <c r="U361" s="96"/>
      <c r="V361" s="141"/>
      <c r="W361" s="400"/>
      <c r="X361" s="605">
        <v>6000000</v>
      </c>
      <c r="Y361" s="605">
        <v>2000000</v>
      </c>
      <c r="Z361" s="605">
        <v>3000000</v>
      </c>
      <c r="AA361" s="605">
        <v>6000000</v>
      </c>
      <c r="AB361" s="605">
        <v>4000000</v>
      </c>
      <c r="AC361" s="605">
        <v>4000000</v>
      </c>
      <c r="AD361" s="605">
        <v>6000000</v>
      </c>
      <c r="AE361" s="605">
        <v>6000000</v>
      </c>
      <c r="AF361" s="605">
        <v>5000000</v>
      </c>
      <c r="AG361" s="605">
        <v>4000000</v>
      </c>
      <c r="AH361" s="605">
        <v>4000000</v>
      </c>
      <c r="AI361" s="605">
        <v>2000000</v>
      </c>
      <c r="AJ361" s="593">
        <v>0</v>
      </c>
    </row>
    <row r="362" spans="2:36" ht="30" x14ac:dyDescent="0.2">
      <c r="B362" s="254" t="s">
        <v>113163</v>
      </c>
      <c r="C362" s="254">
        <v>1505</v>
      </c>
      <c r="D362" s="308" t="s">
        <v>113167</v>
      </c>
      <c r="E362" s="308" t="s">
        <v>105917</v>
      </c>
      <c r="F362" s="254"/>
      <c r="G362" s="254"/>
      <c r="H362" s="254"/>
      <c r="I362" s="254"/>
      <c r="J362" s="431"/>
      <c r="K362" s="254"/>
      <c r="L362" s="65"/>
      <c r="M362" s="306" t="s">
        <v>113225</v>
      </c>
      <c r="N362" s="67"/>
      <c r="O362" s="67" t="s">
        <v>112995</v>
      </c>
      <c r="P362" s="68"/>
      <c r="Q362" s="68"/>
      <c r="R362" s="286">
        <f>+R363</f>
        <v>17765000000</v>
      </c>
      <c r="S362" s="286">
        <f t="shared" ref="S362" si="381">+S363</f>
        <v>17765000000</v>
      </c>
      <c r="T362" s="495">
        <f>T363</f>
        <v>17765000000</v>
      </c>
      <c r="U362" s="287"/>
      <c r="V362" s="287"/>
      <c r="W362" s="409"/>
      <c r="X362" s="286">
        <f t="shared" ref="X362:AI362" si="382">+X363</f>
        <v>2000000</v>
      </c>
      <c r="Y362" s="286">
        <f t="shared" si="382"/>
        <v>175000000</v>
      </c>
      <c r="Z362" s="286">
        <f t="shared" si="382"/>
        <v>171680204.59999999</v>
      </c>
      <c r="AA362" s="286">
        <f t="shared" si="382"/>
        <v>195180204.59999999</v>
      </c>
      <c r="AB362" s="286">
        <f t="shared" si="382"/>
        <v>251513537.93333334</v>
      </c>
      <c r="AC362" s="286">
        <f t="shared" si="382"/>
        <v>778513537.9333334</v>
      </c>
      <c r="AD362" s="286">
        <f t="shared" si="382"/>
        <v>1954264537.9333332</v>
      </c>
      <c r="AE362" s="286">
        <f t="shared" si="382"/>
        <v>2969264537.9333334</v>
      </c>
      <c r="AF362" s="286">
        <f t="shared" si="382"/>
        <v>2839264537.9333334</v>
      </c>
      <c r="AG362" s="286">
        <f t="shared" si="382"/>
        <v>3211764537.9333334</v>
      </c>
      <c r="AH362" s="286">
        <f t="shared" si="382"/>
        <v>1983631204.5999999</v>
      </c>
      <c r="AI362" s="286">
        <f t="shared" si="382"/>
        <v>3232923158.5999999</v>
      </c>
      <c r="AJ362" s="593">
        <v>0</v>
      </c>
    </row>
    <row r="363" spans="2:36" ht="15.75" x14ac:dyDescent="0.2">
      <c r="B363" s="289" t="s">
        <v>113163</v>
      </c>
      <c r="C363" s="289">
        <v>1505</v>
      </c>
      <c r="D363" s="289" t="s">
        <v>113167</v>
      </c>
      <c r="E363" s="289" t="s">
        <v>105917</v>
      </c>
      <c r="F363" s="289" t="s">
        <v>113226</v>
      </c>
      <c r="G363" s="289">
        <v>1505006</v>
      </c>
      <c r="H363" s="289"/>
      <c r="I363" s="289"/>
      <c r="J363" s="435"/>
      <c r="K363" s="289"/>
      <c r="L363" s="35"/>
      <c r="M363" s="36" t="s">
        <v>112994</v>
      </c>
      <c r="N363" s="290"/>
      <c r="O363" s="290" t="s">
        <v>112995</v>
      </c>
      <c r="P363" s="291"/>
      <c r="Q363" s="291"/>
      <c r="R363" s="39">
        <f>SUM(R364:R378)</f>
        <v>17765000000</v>
      </c>
      <c r="S363" s="39">
        <f t="shared" ref="S363" si="383">SUM(S364:S378)</f>
        <v>17765000000</v>
      </c>
      <c r="T363" s="466">
        <v>17765000000</v>
      </c>
      <c r="U363" s="40"/>
      <c r="V363" s="40"/>
      <c r="W363" s="410"/>
      <c r="X363" s="39">
        <f t="shared" ref="X363:Y363" si="384">SUM(X364:X378)</f>
        <v>2000000</v>
      </c>
      <c r="Y363" s="39">
        <f t="shared" si="384"/>
        <v>175000000</v>
      </c>
      <c r="Z363" s="39">
        <f t="shared" ref="Z363:AC363" si="385">SUM(Z364:Z378)</f>
        <v>171680204.59999999</v>
      </c>
      <c r="AA363" s="39">
        <f t="shared" si="385"/>
        <v>195180204.59999999</v>
      </c>
      <c r="AB363" s="39">
        <f t="shared" si="385"/>
        <v>251513537.93333334</v>
      </c>
      <c r="AC363" s="39">
        <f t="shared" si="385"/>
        <v>778513537.9333334</v>
      </c>
      <c r="AD363" s="39">
        <f t="shared" ref="AD363:AI363" si="386">SUM(AD364:AD378)</f>
        <v>1954264537.9333332</v>
      </c>
      <c r="AE363" s="39">
        <f t="shared" si="386"/>
        <v>2969264537.9333334</v>
      </c>
      <c r="AF363" s="39">
        <f t="shared" si="386"/>
        <v>2839264537.9333334</v>
      </c>
      <c r="AG363" s="39">
        <f t="shared" si="386"/>
        <v>3211764537.9333334</v>
      </c>
      <c r="AH363" s="39">
        <f t="shared" si="386"/>
        <v>1983631204.5999999</v>
      </c>
      <c r="AI363" s="39">
        <f t="shared" si="386"/>
        <v>3232923158.5999999</v>
      </c>
      <c r="AJ363" s="593">
        <v>0</v>
      </c>
    </row>
    <row r="364" spans="2:36" ht="60" x14ac:dyDescent="0.2">
      <c r="B364" s="88"/>
      <c r="C364" s="89"/>
      <c r="D364" s="89"/>
      <c r="E364" s="89"/>
      <c r="F364" s="89"/>
      <c r="G364" s="89"/>
      <c r="H364" s="89"/>
      <c r="I364" s="89"/>
      <c r="J364" s="89"/>
      <c r="K364" s="96" t="s">
        <v>113726</v>
      </c>
      <c r="L364" s="91" t="s">
        <v>113170</v>
      </c>
      <c r="M364" s="439" t="s">
        <v>113484</v>
      </c>
      <c r="N364" s="93">
        <v>45662</v>
      </c>
      <c r="O364" s="93" t="s">
        <v>113060</v>
      </c>
      <c r="P364" s="94" t="s">
        <v>113022</v>
      </c>
      <c r="Q364" s="94" t="s">
        <v>113715</v>
      </c>
      <c r="R364" s="118">
        <v>6832400355</v>
      </c>
      <c r="S364" s="573">
        <v>6832400355</v>
      </c>
      <c r="T364" s="477"/>
      <c r="U364" s="293"/>
      <c r="V364" s="294"/>
      <c r="W364" s="344"/>
      <c r="X364" s="605"/>
      <c r="Y364" s="605"/>
      <c r="Z364" s="605"/>
      <c r="AA364" s="605">
        <v>120000000</v>
      </c>
      <c r="AB364" s="605"/>
      <c r="AC364" s="605">
        <v>680000000</v>
      </c>
      <c r="AD364" s="605">
        <v>600000000</v>
      </c>
      <c r="AE364" s="605">
        <v>1500000000</v>
      </c>
      <c r="AF364" s="605">
        <v>870000000</v>
      </c>
      <c r="AG364" s="605">
        <v>1050000000</v>
      </c>
      <c r="AH364" s="605">
        <v>650000000</v>
      </c>
      <c r="AI364" s="605">
        <v>1362400355</v>
      </c>
      <c r="AJ364" s="593">
        <v>0</v>
      </c>
    </row>
    <row r="365" spans="2:36" ht="90" x14ac:dyDescent="0.2">
      <c r="B365" s="88"/>
      <c r="C365" s="89"/>
      <c r="D365" s="89"/>
      <c r="E365" s="89"/>
      <c r="F365" s="89"/>
      <c r="G365" s="89"/>
      <c r="H365" s="89"/>
      <c r="I365" s="89"/>
      <c r="J365" s="89"/>
      <c r="K365" s="96" t="s">
        <v>113726</v>
      </c>
      <c r="L365" s="91">
        <v>81101500</v>
      </c>
      <c r="M365" s="439" t="s">
        <v>113485</v>
      </c>
      <c r="N365" s="93">
        <v>45662</v>
      </c>
      <c r="O365" s="93" t="s">
        <v>113060</v>
      </c>
      <c r="P365" s="94" t="s">
        <v>113022</v>
      </c>
      <c r="Q365" s="94" t="s">
        <v>113716</v>
      </c>
      <c r="R365" s="118">
        <v>566802046</v>
      </c>
      <c r="S365" s="573">
        <v>566802046</v>
      </c>
      <c r="T365" s="477"/>
      <c r="U365" s="293"/>
      <c r="V365" s="294"/>
      <c r="W365" s="344"/>
      <c r="X365" s="605"/>
      <c r="Y365" s="605"/>
      <c r="Z365" s="605">
        <f>$S$365/10</f>
        <v>56680204.600000001</v>
      </c>
      <c r="AA365" s="605">
        <f t="shared" ref="AA365:AI365" si="387">$S$365/10</f>
        <v>56680204.600000001</v>
      </c>
      <c r="AB365" s="605">
        <f t="shared" si="387"/>
        <v>56680204.600000001</v>
      </c>
      <c r="AC365" s="605">
        <f t="shared" si="387"/>
        <v>56680204.600000001</v>
      </c>
      <c r="AD365" s="605">
        <f t="shared" si="387"/>
        <v>56680204.600000001</v>
      </c>
      <c r="AE365" s="605">
        <f t="shared" si="387"/>
        <v>56680204.600000001</v>
      </c>
      <c r="AF365" s="605">
        <f t="shared" si="387"/>
        <v>56680204.600000001</v>
      </c>
      <c r="AG365" s="605">
        <f t="shared" si="387"/>
        <v>56680204.600000001</v>
      </c>
      <c r="AH365" s="605">
        <f t="shared" si="387"/>
        <v>56680204.600000001</v>
      </c>
      <c r="AI365" s="605">
        <f t="shared" si="387"/>
        <v>56680204.600000001</v>
      </c>
      <c r="AJ365" s="593">
        <v>0</v>
      </c>
    </row>
    <row r="366" spans="2:36" ht="45" x14ac:dyDescent="0.2">
      <c r="B366" s="88"/>
      <c r="C366" s="89"/>
      <c r="D366" s="89"/>
      <c r="E366" s="89"/>
      <c r="F366" s="89"/>
      <c r="G366" s="89"/>
      <c r="H366" s="89"/>
      <c r="I366" s="89"/>
      <c r="J366" s="89"/>
      <c r="K366" s="96" t="s">
        <v>113726</v>
      </c>
      <c r="L366" s="91" t="s">
        <v>113170</v>
      </c>
      <c r="M366" s="439" t="s">
        <v>113486</v>
      </c>
      <c r="N366" s="93">
        <v>45813</v>
      </c>
      <c r="O366" s="93" t="s">
        <v>113208</v>
      </c>
      <c r="P366" s="94" t="s">
        <v>113725</v>
      </c>
      <c r="Q366" s="94" t="s">
        <v>113715</v>
      </c>
      <c r="R366" s="118">
        <v>5645494000</v>
      </c>
      <c r="S366" s="573">
        <v>5645494000</v>
      </c>
      <c r="T366" s="477"/>
      <c r="U366" s="293"/>
      <c r="V366" s="568">
        <v>11000000000</v>
      </c>
      <c r="W366" s="344"/>
      <c r="X366" s="605"/>
      <c r="Y366" s="605"/>
      <c r="Z366" s="605"/>
      <c r="AA366" s="605"/>
      <c r="AB366" s="605"/>
      <c r="AC366" s="605"/>
      <c r="AD366" s="605">
        <v>680000000</v>
      </c>
      <c r="AE366" s="605">
        <v>850000000</v>
      </c>
      <c r="AF366" s="605">
        <v>1250000000</v>
      </c>
      <c r="AG366" s="605">
        <v>800000000</v>
      </c>
      <c r="AH366" s="605">
        <v>1075000000</v>
      </c>
      <c r="AI366" s="605">
        <v>990494000</v>
      </c>
      <c r="AJ366" s="593">
        <v>0</v>
      </c>
    </row>
    <row r="367" spans="2:36" ht="60" x14ac:dyDescent="0.2">
      <c r="B367" s="88"/>
      <c r="C367" s="89"/>
      <c r="D367" s="89"/>
      <c r="E367" s="89"/>
      <c r="F367" s="89"/>
      <c r="G367" s="89"/>
      <c r="H367" s="89"/>
      <c r="I367" s="89"/>
      <c r="J367" s="89"/>
      <c r="K367" s="96" t="s">
        <v>113726</v>
      </c>
      <c r="L367" s="91">
        <v>81101500</v>
      </c>
      <c r="M367" s="439" t="s">
        <v>113487</v>
      </c>
      <c r="N367" s="93">
        <v>45813</v>
      </c>
      <c r="O367" s="93" t="s">
        <v>113208</v>
      </c>
      <c r="P367" s="94" t="s">
        <v>113725</v>
      </c>
      <c r="Q367" s="94" t="s">
        <v>113716</v>
      </c>
      <c r="R367" s="118">
        <v>720331546</v>
      </c>
      <c r="S367" s="573">
        <v>720331546</v>
      </c>
      <c r="T367" s="477"/>
      <c r="U367" s="293"/>
      <c r="V367" s="568">
        <v>700000000</v>
      </c>
      <c r="W367" s="344"/>
      <c r="X367" s="605"/>
      <c r="Y367" s="605"/>
      <c r="Z367" s="605"/>
      <c r="AA367" s="605"/>
      <c r="AB367" s="605"/>
      <c r="AC367" s="605"/>
      <c r="AD367" s="605">
        <f>$S$367/6</f>
        <v>120055257.66666667</v>
      </c>
      <c r="AE367" s="605">
        <f t="shared" ref="AE367:AI367" si="388">$S$367/6</f>
        <v>120055257.66666667</v>
      </c>
      <c r="AF367" s="605">
        <f t="shared" si="388"/>
        <v>120055257.66666667</v>
      </c>
      <c r="AG367" s="605">
        <f t="shared" si="388"/>
        <v>120055257.66666667</v>
      </c>
      <c r="AH367" s="605">
        <f t="shared" si="388"/>
        <v>120055257.66666667</v>
      </c>
      <c r="AI367" s="605">
        <f t="shared" si="388"/>
        <v>120055257.66666667</v>
      </c>
      <c r="AJ367" s="593">
        <v>0</v>
      </c>
    </row>
    <row r="368" spans="2:36" ht="45" x14ac:dyDescent="0.2">
      <c r="B368" s="88"/>
      <c r="C368" s="89"/>
      <c r="D368" s="89"/>
      <c r="E368" s="89"/>
      <c r="F368" s="89"/>
      <c r="G368" s="89"/>
      <c r="H368" s="89"/>
      <c r="I368" s="89"/>
      <c r="J368" s="89"/>
      <c r="K368" s="96" t="s">
        <v>113726</v>
      </c>
      <c r="L368" s="91" t="s">
        <v>113170</v>
      </c>
      <c r="M368" s="439" t="s">
        <v>113488</v>
      </c>
      <c r="N368" s="93">
        <v>45721</v>
      </c>
      <c r="O368" s="93" t="s">
        <v>113006</v>
      </c>
      <c r="P368" s="94" t="s">
        <v>113002</v>
      </c>
      <c r="Q368" s="94" t="s">
        <v>113715</v>
      </c>
      <c r="R368" s="587">
        <v>1200000000</v>
      </c>
      <c r="S368" s="573">
        <v>1200000000</v>
      </c>
      <c r="T368" s="477"/>
      <c r="U368" s="144"/>
      <c r="V368" s="118"/>
      <c r="W368" s="344"/>
      <c r="X368" s="605"/>
      <c r="Y368" s="605"/>
      <c r="Z368" s="605"/>
      <c r="AA368" s="605"/>
      <c r="AB368" s="605">
        <v>168000000</v>
      </c>
      <c r="AC368" s="605"/>
      <c r="AD368" s="605">
        <v>320000000</v>
      </c>
      <c r="AE368" s="605"/>
      <c r="AF368" s="605">
        <v>400000000</v>
      </c>
      <c r="AG368" s="605">
        <v>312000000</v>
      </c>
      <c r="AH368" s="605"/>
      <c r="AI368" s="605"/>
      <c r="AJ368" s="593">
        <v>0</v>
      </c>
    </row>
    <row r="369" spans="2:36" ht="75" x14ac:dyDescent="0.2">
      <c r="B369" s="88"/>
      <c r="C369" s="89"/>
      <c r="D369" s="89"/>
      <c r="E369" s="89"/>
      <c r="F369" s="89"/>
      <c r="G369" s="89"/>
      <c r="H369" s="89"/>
      <c r="I369" s="89"/>
      <c r="J369" s="89"/>
      <c r="K369" s="96" t="s">
        <v>113726</v>
      </c>
      <c r="L369" s="91">
        <v>81101500</v>
      </c>
      <c r="M369" s="439" t="s">
        <v>113489</v>
      </c>
      <c r="N369" s="93">
        <v>45721</v>
      </c>
      <c r="O369" s="93" t="s">
        <v>113006</v>
      </c>
      <c r="P369" s="94" t="s">
        <v>113002</v>
      </c>
      <c r="Q369" s="94" t="s">
        <v>113716</v>
      </c>
      <c r="R369" s="587">
        <v>140000000</v>
      </c>
      <c r="S369" s="573">
        <v>140000000</v>
      </c>
      <c r="T369" s="477"/>
      <c r="U369" s="144"/>
      <c r="V369" s="118"/>
      <c r="W369" s="344"/>
      <c r="X369" s="605"/>
      <c r="Y369" s="605"/>
      <c r="Z369" s="605"/>
      <c r="AA369" s="605"/>
      <c r="AB369" s="605">
        <f>$S$369/6</f>
        <v>23333333.333333332</v>
      </c>
      <c r="AC369" s="605">
        <f t="shared" ref="AC369:AG369" si="389">$S$369/6</f>
        <v>23333333.333333332</v>
      </c>
      <c r="AD369" s="605">
        <f t="shared" si="389"/>
        <v>23333333.333333332</v>
      </c>
      <c r="AE369" s="605">
        <f t="shared" si="389"/>
        <v>23333333.333333332</v>
      </c>
      <c r="AF369" s="605">
        <f t="shared" si="389"/>
        <v>23333333.333333332</v>
      </c>
      <c r="AG369" s="605">
        <f t="shared" si="389"/>
        <v>23333333.333333332</v>
      </c>
      <c r="AH369" s="605"/>
      <c r="AI369" s="605"/>
      <c r="AJ369" s="593">
        <v>0</v>
      </c>
    </row>
    <row r="370" spans="2:36" ht="45" x14ac:dyDescent="0.2">
      <c r="B370" s="88"/>
      <c r="C370" s="89"/>
      <c r="D370" s="89"/>
      <c r="E370" s="89"/>
      <c r="F370" s="89"/>
      <c r="G370" s="89"/>
      <c r="H370" s="89"/>
      <c r="I370" s="89"/>
      <c r="J370" s="89"/>
      <c r="K370" s="96" t="s">
        <v>113726</v>
      </c>
      <c r="L370" s="91" t="s">
        <v>113170</v>
      </c>
      <c r="M370" s="439" t="s">
        <v>113490</v>
      </c>
      <c r="N370" s="93">
        <v>45813</v>
      </c>
      <c r="O370" s="93" t="s">
        <v>113208</v>
      </c>
      <c r="P370" s="94" t="s">
        <v>113068</v>
      </c>
      <c r="Q370" s="94" t="s">
        <v>113715</v>
      </c>
      <c r="R370" s="118">
        <v>1871000000</v>
      </c>
      <c r="S370" s="573">
        <v>1851000000</v>
      </c>
      <c r="T370" s="477"/>
      <c r="U370" s="144"/>
      <c r="V370" s="568">
        <v>6000000000</v>
      </c>
      <c r="W370" s="344"/>
      <c r="X370" s="605"/>
      <c r="Y370" s="605"/>
      <c r="Z370" s="605"/>
      <c r="AA370" s="605"/>
      <c r="AB370" s="605"/>
      <c r="AC370" s="605"/>
      <c r="AD370" s="605">
        <v>85000000</v>
      </c>
      <c r="AE370" s="605">
        <v>350000000</v>
      </c>
      <c r="AF370" s="605"/>
      <c r="AG370" s="605">
        <v>780000000</v>
      </c>
      <c r="AH370" s="605"/>
      <c r="AI370" s="605">
        <v>636000000</v>
      </c>
      <c r="AJ370" s="593">
        <v>0</v>
      </c>
    </row>
    <row r="371" spans="2:36" ht="60" x14ac:dyDescent="0.2">
      <c r="B371" s="88"/>
      <c r="C371" s="89"/>
      <c r="D371" s="89"/>
      <c r="E371" s="89"/>
      <c r="F371" s="89"/>
      <c r="G371" s="89"/>
      <c r="H371" s="89"/>
      <c r="I371" s="89"/>
      <c r="J371" s="89"/>
      <c r="K371" s="96" t="s">
        <v>113726</v>
      </c>
      <c r="L371" s="91">
        <v>81101500</v>
      </c>
      <c r="M371" s="439" t="s">
        <v>113491</v>
      </c>
      <c r="N371" s="93">
        <v>45813</v>
      </c>
      <c r="O371" s="93" t="s">
        <v>113208</v>
      </c>
      <c r="P371" s="94" t="s">
        <v>113068</v>
      </c>
      <c r="Q371" s="94" t="s">
        <v>113716</v>
      </c>
      <c r="R371" s="118">
        <f>380000000+14174454</f>
        <v>394174454</v>
      </c>
      <c r="S371" s="573">
        <v>394174454</v>
      </c>
      <c r="T371" s="477"/>
      <c r="U371" s="144"/>
      <c r="V371" s="568">
        <v>820000000</v>
      </c>
      <c r="W371" s="344"/>
      <c r="X371" s="605"/>
      <c r="Y371" s="605"/>
      <c r="Z371" s="605"/>
      <c r="AA371" s="605"/>
      <c r="AB371" s="605"/>
      <c r="AC371" s="605"/>
      <c r="AD371" s="605">
        <f>$S$371/6</f>
        <v>65695742.333333336</v>
      </c>
      <c r="AE371" s="605">
        <f t="shared" ref="AE371:AI371" si="390">$S$371/6</f>
        <v>65695742.333333336</v>
      </c>
      <c r="AF371" s="605">
        <f t="shared" si="390"/>
        <v>65695742.333333336</v>
      </c>
      <c r="AG371" s="605">
        <f t="shared" si="390"/>
        <v>65695742.333333336</v>
      </c>
      <c r="AH371" s="605">
        <f t="shared" si="390"/>
        <v>65695742.333333336</v>
      </c>
      <c r="AI371" s="605">
        <f t="shared" si="390"/>
        <v>65695742.333333336</v>
      </c>
      <c r="AJ371" s="593">
        <v>0</v>
      </c>
    </row>
    <row r="372" spans="2:36" x14ac:dyDescent="0.2">
      <c r="B372" s="88"/>
      <c r="C372" s="89"/>
      <c r="D372" s="89"/>
      <c r="E372" s="89"/>
      <c r="F372" s="89"/>
      <c r="G372" s="89"/>
      <c r="H372" s="89"/>
      <c r="I372" s="89"/>
      <c r="J372" s="89"/>
      <c r="K372" s="96" t="s">
        <v>113726</v>
      </c>
      <c r="L372" s="91">
        <v>81101500</v>
      </c>
      <c r="M372" s="439" t="s">
        <v>113492</v>
      </c>
      <c r="N372" s="118"/>
      <c r="O372" s="118"/>
      <c r="P372" s="118"/>
      <c r="Q372" s="118"/>
      <c r="R372" s="118">
        <v>94000000</v>
      </c>
      <c r="S372" s="573">
        <v>104000000</v>
      </c>
      <c r="T372" s="477"/>
      <c r="U372" s="144"/>
      <c r="V372" s="144"/>
      <c r="W372" s="344"/>
      <c r="X372" s="605"/>
      <c r="Y372" s="605">
        <f>$S$372/2</f>
        <v>52000000</v>
      </c>
      <c r="Z372" s="605">
        <f>$S$372/2</f>
        <v>52000000</v>
      </c>
      <c r="AA372" s="605"/>
      <c r="AB372" s="605"/>
      <c r="AC372" s="605"/>
      <c r="AD372" s="605"/>
      <c r="AE372" s="605"/>
      <c r="AF372" s="605"/>
      <c r="AG372" s="605"/>
      <c r="AH372" s="605"/>
      <c r="AI372" s="605"/>
      <c r="AJ372" s="593">
        <v>0</v>
      </c>
    </row>
    <row r="373" spans="2:36" x14ac:dyDescent="0.2">
      <c r="B373" s="88"/>
      <c r="C373" s="89"/>
      <c r="D373" s="89"/>
      <c r="E373" s="89"/>
      <c r="F373" s="89"/>
      <c r="G373" s="89"/>
      <c r="H373" s="89"/>
      <c r="I373" s="89"/>
      <c r="J373" s="89"/>
      <c r="K373" s="96" t="s">
        <v>113726</v>
      </c>
      <c r="L373" s="91">
        <v>81101500</v>
      </c>
      <c r="M373" s="439" t="s">
        <v>113493</v>
      </c>
      <c r="N373" s="118"/>
      <c r="O373" s="118"/>
      <c r="P373" s="118"/>
      <c r="Q373" s="118"/>
      <c r="R373" s="118">
        <v>109000000</v>
      </c>
      <c r="S373" s="573">
        <v>109000000</v>
      </c>
      <c r="T373" s="477"/>
      <c r="U373" s="144"/>
      <c r="V373" s="144"/>
      <c r="W373" s="344"/>
      <c r="X373" s="605"/>
      <c r="Y373" s="605">
        <f>$S$373/2</f>
        <v>54500000</v>
      </c>
      <c r="Z373" s="605">
        <f>$S$373/2</f>
        <v>54500000</v>
      </c>
      <c r="AA373" s="605"/>
      <c r="AB373" s="605"/>
      <c r="AC373" s="605"/>
      <c r="AD373" s="605"/>
      <c r="AE373" s="605"/>
      <c r="AF373" s="605"/>
      <c r="AG373" s="605"/>
      <c r="AH373" s="605"/>
      <c r="AI373" s="605"/>
      <c r="AJ373" s="593">
        <v>0</v>
      </c>
    </row>
    <row r="374" spans="2:36" ht="45" x14ac:dyDescent="0.2">
      <c r="B374" s="88"/>
      <c r="C374" s="89"/>
      <c r="D374" s="89"/>
      <c r="E374" s="89"/>
      <c r="F374" s="89"/>
      <c r="G374" s="89"/>
      <c r="H374" s="89"/>
      <c r="I374" s="89"/>
      <c r="J374" s="89"/>
      <c r="K374" s="96" t="s">
        <v>113726</v>
      </c>
      <c r="L374" s="91"/>
      <c r="M374" s="439" t="s">
        <v>113494</v>
      </c>
      <c r="N374" s="118"/>
      <c r="O374" s="118"/>
      <c r="P374" s="118"/>
      <c r="Q374" s="118"/>
      <c r="R374" s="118">
        <v>65000000</v>
      </c>
      <c r="S374" s="573">
        <v>65000000</v>
      </c>
      <c r="T374" s="477"/>
      <c r="U374" s="144"/>
      <c r="V374" s="144"/>
      <c r="W374" s="344"/>
      <c r="X374" s="605"/>
      <c r="Y374" s="605">
        <v>65000000</v>
      </c>
      <c r="Z374" s="605"/>
      <c r="AA374" s="605"/>
      <c r="AB374" s="605"/>
      <c r="AC374" s="605"/>
      <c r="AD374" s="605"/>
      <c r="AE374" s="605"/>
      <c r="AF374" s="605"/>
      <c r="AG374" s="605"/>
      <c r="AH374" s="605"/>
      <c r="AI374" s="605"/>
      <c r="AJ374" s="593">
        <v>0</v>
      </c>
    </row>
    <row r="375" spans="2:36" ht="45" x14ac:dyDescent="0.2">
      <c r="B375" s="88"/>
      <c r="C375" s="89"/>
      <c r="D375" s="89"/>
      <c r="E375" s="89"/>
      <c r="F375" s="89"/>
      <c r="G375" s="89"/>
      <c r="H375" s="89"/>
      <c r="I375" s="89"/>
      <c r="J375" s="89"/>
      <c r="K375" s="96" t="s">
        <v>113726</v>
      </c>
      <c r="L375" s="91"/>
      <c r="M375" s="439" t="s">
        <v>113495</v>
      </c>
      <c r="N375" s="118"/>
      <c r="O375" s="118"/>
      <c r="P375" s="118"/>
      <c r="Q375" s="118"/>
      <c r="R375" s="118">
        <v>25000000</v>
      </c>
      <c r="S375" s="573">
        <v>15000000</v>
      </c>
      <c r="T375" s="477"/>
      <c r="U375" s="144"/>
      <c r="V375" s="144"/>
      <c r="W375" s="344"/>
      <c r="X375" s="605"/>
      <c r="Y375" s="605"/>
      <c r="Z375" s="605"/>
      <c r="AA375" s="605">
        <v>15000000</v>
      </c>
      <c r="AB375" s="605"/>
      <c r="AC375" s="605"/>
      <c r="AD375" s="605"/>
      <c r="AE375" s="605"/>
      <c r="AF375" s="605"/>
      <c r="AG375" s="605"/>
      <c r="AH375" s="605"/>
      <c r="AI375" s="605"/>
      <c r="AJ375" s="593">
        <v>0</v>
      </c>
    </row>
    <row r="376" spans="2:36" ht="30" x14ac:dyDescent="0.2">
      <c r="B376" s="88"/>
      <c r="C376" s="89"/>
      <c r="D376" s="89"/>
      <c r="E376" s="89"/>
      <c r="F376" s="89"/>
      <c r="G376" s="89"/>
      <c r="H376" s="89"/>
      <c r="I376" s="89"/>
      <c r="J376" s="89"/>
      <c r="K376" s="96" t="s">
        <v>113726</v>
      </c>
      <c r="L376" s="91">
        <v>90121600</v>
      </c>
      <c r="M376" s="439" t="s">
        <v>113481</v>
      </c>
      <c r="N376" s="93">
        <v>45662</v>
      </c>
      <c r="O376" s="93" t="s">
        <v>113060</v>
      </c>
      <c r="P376" s="94" t="s">
        <v>113022</v>
      </c>
      <c r="Q376" s="94" t="s">
        <v>113008</v>
      </c>
      <c r="R376" s="118">
        <v>20000000</v>
      </c>
      <c r="S376" s="573">
        <v>35000000</v>
      </c>
      <c r="T376" s="477"/>
      <c r="U376" s="144"/>
      <c r="V376" s="144"/>
      <c r="W376" s="344"/>
      <c r="X376" s="605"/>
      <c r="Y376" s="605"/>
      <c r="Z376" s="605">
        <v>5000000</v>
      </c>
      <c r="AA376" s="605"/>
      <c r="AB376" s="605"/>
      <c r="AC376" s="605">
        <v>15000000</v>
      </c>
      <c r="AD376" s="605"/>
      <c r="AE376" s="605"/>
      <c r="AF376" s="605"/>
      <c r="AG376" s="605"/>
      <c r="AH376" s="605">
        <v>15000000</v>
      </c>
      <c r="AI376" s="605"/>
      <c r="AJ376" s="593">
        <v>0</v>
      </c>
    </row>
    <row r="377" spans="2:36" x14ac:dyDescent="0.2">
      <c r="B377" s="88"/>
      <c r="C377" s="89"/>
      <c r="D377" s="89"/>
      <c r="E377" s="89"/>
      <c r="F377" s="89"/>
      <c r="G377" s="89"/>
      <c r="H377" s="89"/>
      <c r="I377" s="89"/>
      <c r="J377" s="89"/>
      <c r="K377" s="96" t="s">
        <v>113726</v>
      </c>
      <c r="L377" s="91">
        <v>90111500</v>
      </c>
      <c r="M377" s="439" t="s">
        <v>113482</v>
      </c>
      <c r="N377" s="118"/>
      <c r="O377" s="118"/>
      <c r="P377" s="118"/>
      <c r="Q377" s="118"/>
      <c r="R377" s="118">
        <v>31797599</v>
      </c>
      <c r="S377" s="573">
        <v>36797599</v>
      </c>
      <c r="T377" s="477"/>
      <c r="U377" s="144"/>
      <c r="V377" s="144"/>
      <c r="W377" s="344"/>
      <c r="X377" s="605">
        <v>2000000</v>
      </c>
      <c r="Y377" s="605">
        <v>3500000</v>
      </c>
      <c r="Z377" s="605">
        <v>3500000</v>
      </c>
      <c r="AA377" s="605">
        <v>3500000</v>
      </c>
      <c r="AB377" s="605">
        <v>3500000</v>
      </c>
      <c r="AC377" s="605">
        <v>3500000</v>
      </c>
      <c r="AD377" s="605">
        <v>3500000</v>
      </c>
      <c r="AE377" s="605">
        <v>3500000</v>
      </c>
      <c r="AF377" s="605">
        <v>3500000</v>
      </c>
      <c r="AG377" s="605">
        <v>4000000</v>
      </c>
      <c r="AH377" s="605">
        <v>1200000</v>
      </c>
      <c r="AI377" s="605">
        <v>1597599</v>
      </c>
      <c r="AJ377" s="593">
        <v>0</v>
      </c>
    </row>
    <row r="378" spans="2:36" ht="30" x14ac:dyDescent="0.2">
      <c r="B378" s="88"/>
      <c r="C378" s="89"/>
      <c r="D378" s="89"/>
      <c r="E378" s="89"/>
      <c r="F378" s="89"/>
      <c r="G378" s="89"/>
      <c r="H378" s="89"/>
      <c r="I378" s="89"/>
      <c r="J378" s="89"/>
      <c r="K378" s="96" t="s">
        <v>113726</v>
      </c>
      <c r="L378" s="91">
        <v>81101500</v>
      </c>
      <c r="M378" s="438" t="s">
        <v>113496</v>
      </c>
      <c r="N378" s="93">
        <v>45782</v>
      </c>
      <c r="O378" s="93" t="s">
        <v>113087</v>
      </c>
      <c r="P378" s="94" t="s">
        <v>113022</v>
      </c>
      <c r="Q378" s="94" t="s">
        <v>113716</v>
      </c>
      <c r="R378" s="118">
        <v>50000000</v>
      </c>
      <c r="S378" s="573">
        <v>50000000</v>
      </c>
      <c r="T378" s="477"/>
      <c r="U378" s="144"/>
      <c r="V378" s="144"/>
      <c r="W378" s="344"/>
      <c r="X378" s="605"/>
      <c r="Y378" s="605"/>
      <c r="Z378" s="605"/>
      <c r="AA378" s="605"/>
      <c r="AB378" s="605"/>
      <c r="AC378" s="605"/>
      <c r="AD378" s="605"/>
      <c r="AE378" s="605"/>
      <c r="AF378" s="605">
        <v>50000000</v>
      </c>
      <c r="AG378" s="605"/>
      <c r="AH378" s="605"/>
      <c r="AI378" s="605"/>
      <c r="AJ378" s="593">
        <v>0</v>
      </c>
    </row>
  </sheetData>
  <sheetProtection formatCells="0" formatColumns="0" formatRows="0" insertColumns="0" insertRows="0" insertHyperlinks="0" deleteColumns="0" deleteRows="0" sort="0" autoFilter="0" pivotTables="0"/>
  <autoFilter ref="A6:AJ378" xr:uid="{00000000-0009-0000-0000-000000000000}"/>
  <phoneticPr fontId="42" type="noConversion"/>
  <conditionalFormatting sqref="N41">
    <cfRule type="timePeriod" dxfId="19" priority="5" timePeriod="lastMonth">
      <formula>AND(MONTH(N41)=MONTH(EDATE(TODAY(),0-1)),YEAR(N41)=YEAR(EDATE(TODAY(),0-1)))</formula>
    </cfRule>
  </conditionalFormatting>
  <conditionalFormatting sqref="N14:Q14">
    <cfRule type="timePeriod" dxfId="18" priority="4" timePeriod="lastMonth">
      <formula>AND(MONTH(N14)=MONTH(EDATE(TODAY(),0-1)),YEAR(N14)=YEAR(EDATE(TODAY(),0-1)))</formula>
    </cfRule>
  </conditionalFormatting>
  <conditionalFormatting sqref="N66 N44">
    <cfRule type="timePeriod" dxfId="17" priority="3" timePeriod="lastMonth">
      <formula>AND(MONTH(N44)=MONTH(EDATE(TODAY(),0-1)),YEAR(N44)=YEAR(EDATE(TODAY(),0-1)))</formula>
    </cfRule>
  </conditionalFormatting>
  <conditionalFormatting sqref="N94 N80">
    <cfRule type="timePeriod" dxfId="16" priority="2" timePeriod="lastMonth">
      <formula>AND(MONTH(N80)=MONTH(EDATE(TODAY(),0-1)),YEAR(N80)=YEAR(EDATE(TODAY(),0-1)))</formula>
    </cfRule>
  </conditionalFormatting>
  <conditionalFormatting sqref="N127">
    <cfRule type="timePeriod" dxfId="15" priority="1" timePeriod="lastMonth">
      <formula>AND(MONTH(N127)=MONTH(EDATE(TODAY(),0-1)),YEAR(N127)=YEAR(EDATE(TODAY(),0-1)))</formula>
    </cfRule>
  </conditionalFormatting>
  <dataValidations count="2">
    <dataValidation type="list" allowBlank="1" showInputMessage="1" showErrorMessage="1" sqref="W14:W16 W116:W118 W103:W107 W32:W34 W36 W38 W223:W224 W42 W45:W47 W151 W81:W82 W198 W171:W173 W65 W67 W84:W86 W60 W191:W192 W229:W232 W57:W58 W73:W76 W78:W79 W303:W378 W188:W189 W195:W196 W210:W211 W162:W163 W268:W271 W264:W266 W95 W289:W292 W175 W178 W200:W205 W207:W208 W220:W221 W227 W122:W124 W70:W71 W246 W252:W254 W256:W259 W261:W262 W282 W50:W53 W55 W62:W63 W20:W30 W109:W114 W153 W168:W169 W183:W185 W97:W100 W127 W295:W300 W278:W279 W240 W159:W160 W165:W166 W214:W215 W218 W89 W91:W93" xr:uid="{00000000-0002-0000-0000-000000000000}">
      <formula1>#REF!</formula1>
    </dataValidation>
    <dataValidation type="list" allowBlank="1" showInputMessage="1" showErrorMessage="1" sqref="W56 W64 W101:W102 W115 W177 W54" xr:uid="{00000000-0002-0000-0000-000001000000}">
      <formula1>#REF!</formula1>
    </dataValidation>
  </dataValidations>
  <pageMargins left="0.7" right="0.7" top="0.75" bottom="0.75" header="0.3" footer="0.3"/>
  <pageSetup scale="15" fitToHeight="0" orientation="landscape" r:id="rId1"/>
  <ignoredErrors>
    <ignoredError sqref="S258" formula="1"/>
  </ignoredError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2000000}">
          <x14:formula1>
            <xm:f>'\\172.23.131.133\Planeacion\4.Plan de adquisiciones\Plan de Adquisiciones 2024 - ICFE\[35_Plan Anual Adquisiciones 2024_35.xlsx]Hoja1'!#REF!</xm:f>
          </x14:formula1>
          <xm:sqref>W108 W147:W148 W94 W267 W40:W41 W44 W66 W72 W77 W80 W190 W212 W219 W216:W217 W293 W69 W161 W225:W226 W272:W275 W193</xm:sqref>
        </x14:dataValidation>
        <x14:dataValidation type="list" allowBlank="1" showInputMessage="1" showErrorMessage="1" xr:uid="{00000000-0002-0000-0000-000003000000}">
          <x14:formula1>
            <xm:f>'\\172.23.131.133\Planeacion\4.Plan de adquisiciones\Plan de Adquisiciones 2024 - ICFE\[Plan Anual Adquisiciones 2024_Seguimiento.xlsx]Hoja1'!#REF!</xm:f>
          </x14:formula1>
          <xm:sqref>W87:W88 W174 V96:W96 W181:W182 W17:W19 W154:W158 W164 W244 W83 W128:W142 W149:W150 W90</xm:sqref>
        </x14:dataValidation>
        <x14:dataValidation type="list" allowBlank="1" showInputMessage="1" showErrorMessage="1" xr:uid="{00000000-0002-0000-0000-000004000000}">
          <x14:formula1>
            <xm:f>'\\172.23.131.133\Planeacion\4.Plan de adquisiciones\Plan de Adquisiciones 2025 - ICFE\Anteproyecto 2025\[Plan Anual Adquisiciones 2025.xlsx]Hoja1'!#REF!</xm:f>
          </x14:formula1>
          <xm:sqref>W119:W121 W144:W146 W125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N94"/>
  <sheetViews>
    <sheetView zoomScale="55" zoomScaleNormal="55" workbookViewId="0">
      <selection activeCell="O6" sqref="O6"/>
    </sheetView>
  </sheetViews>
  <sheetFormatPr baseColWidth="10" defaultColWidth="11.42578125" defaultRowHeight="15" x14ac:dyDescent="0.25"/>
  <cols>
    <col min="1" max="1" width="23.42578125" style="516" customWidth="1"/>
    <col min="2" max="2" width="47.85546875" style="557" customWidth="1"/>
    <col min="3" max="3" width="20" style="518" customWidth="1"/>
    <col min="4" max="4" width="34.7109375" style="516" customWidth="1"/>
    <col min="5" max="5" width="26.7109375" style="519" bestFit="1" customWidth="1"/>
    <col min="6" max="6" width="26.7109375" style="519" customWidth="1"/>
    <col min="7" max="7" width="114.42578125" style="516" customWidth="1"/>
    <col min="8" max="8" width="27" style="516" customWidth="1"/>
    <col min="9" max="9" width="15" style="518" customWidth="1"/>
    <col min="10" max="10" width="22.42578125" style="516" customWidth="1"/>
    <col min="11" max="12" width="18.42578125" style="518" customWidth="1"/>
    <col min="13" max="13" width="26.140625" style="516" customWidth="1"/>
    <col min="14" max="14" width="14.140625" style="516" bestFit="1" customWidth="1"/>
    <col min="15" max="16384" width="11.42578125" style="516"/>
  </cols>
  <sheetData>
    <row r="1" spans="1:14" x14ac:dyDescent="0.25">
      <c r="B1" s="517"/>
    </row>
    <row r="2" spans="1:14" s="524" customFormat="1" ht="31.5" customHeight="1" x14ac:dyDescent="0.25">
      <c r="A2" s="520" t="s">
        <v>113562</v>
      </c>
      <c r="B2" s="520" t="s">
        <v>113563</v>
      </c>
      <c r="C2" s="520" t="s">
        <v>113564</v>
      </c>
      <c r="D2" s="521" t="s">
        <v>113565</v>
      </c>
      <c r="E2" s="522" t="s">
        <v>113566</v>
      </c>
      <c r="F2" s="523" t="s">
        <v>113567</v>
      </c>
      <c r="G2" s="520" t="s">
        <v>113568</v>
      </c>
      <c r="H2" s="520" t="s">
        <v>113569</v>
      </c>
      <c r="I2" s="521" t="s">
        <v>113570</v>
      </c>
      <c r="J2" s="520" t="s">
        <v>113571</v>
      </c>
      <c r="K2" s="521" t="s">
        <v>113572</v>
      </c>
      <c r="L2" s="521" t="s">
        <v>113573</v>
      </c>
      <c r="M2" s="521" t="s">
        <v>113574</v>
      </c>
    </row>
    <row r="3" spans="1:14" x14ac:dyDescent="0.25">
      <c r="A3" s="516" t="s">
        <v>113575</v>
      </c>
      <c r="B3" s="519" t="s">
        <v>113576</v>
      </c>
      <c r="C3" s="518">
        <v>1</v>
      </c>
      <c r="D3" s="516" t="s">
        <v>113577</v>
      </c>
      <c r="E3" s="525">
        <v>31350000</v>
      </c>
      <c r="F3" s="516"/>
      <c r="G3" s="516" t="s">
        <v>113267</v>
      </c>
      <c r="H3" s="526">
        <v>1032411643</v>
      </c>
      <c r="I3" s="527">
        <v>45310</v>
      </c>
      <c r="J3" s="528"/>
      <c r="K3" s="527">
        <v>45473</v>
      </c>
      <c r="L3" s="518">
        <f t="shared" ref="L3:L66" si="0">+K3-I3</f>
        <v>163</v>
      </c>
      <c r="M3" s="529">
        <f t="shared" ref="M3:M27" si="1">+E3+J3</f>
        <v>31350000</v>
      </c>
      <c r="N3" s="530"/>
    </row>
    <row r="4" spans="1:14" x14ac:dyDescent="0.25">
      <c r="A4" s="516" t="s">
        <v>113575</v>
      </c>
      <c r="B4" s="516" t="s">
        <v>113578</v>
      </c>
      <c r="C4" s="518">
        <v>2</v>
      </c>
      <c r="D4" s="516" t="s">
        <v>113577</v>
      </c>
      <c r="E4" s="525">
        <v>31350000</v>
      </c>
      <c r="F4" s="516"/>
      <c r="G4" s="516" t="s">
        <v>113579</v>
      </c>
      <c r="H4" s="526">
        <v>1026259645</v>
      </c>
      <c r="I4" s="527">
        <v>45310</v>
      </c>
      <c r="K4" s="527">
        <v>45473</v>
      </c>
      <c r="L4" s="518">
        <f t="shared" si="0"/>
        <v>163</v>
      </c>
      <c r="M4" s="529">
        <f t="shared" si="1"/>
        <v>31350000</v>
      </c>
    </row>
    <row r="5" spans="1:14" x14ac:dyDescent="0.25">
      <c r="A5" s="516" t="s">
        <v>113575</v>
      </c>
      <c r="B5" s="516" t="s">
        <v>113580</v>
      </c>
      <c r="C5" s="518">
        <v>3</v>
      </c>
      <c r="D5" s="516" t="s">
        <v>113577</v>
      </c>
      <c r="E5" s="525">
        <v>31350000</v>
      </c>
      <c r="F5" s="516"/>
      <c r="G5" s="516" t="s">
        <v>113268</v>
      </c>
      <c r="H5" s="526">
        <v>24018670</v>
      </c>
      <c r="I5" s="527">
        <v>45310</v>
      </c>
      <c r="K5" s="527">
        <v>45473</v>
      </c>
      <c r="L5" s="518">
        <f t="shared" si="0"/>
        <v>163</v>
      </c>
      <c r="M5" s="529">
        <f t="shared" si="1"/>
        <v>31350000</v>
      </c>
    </row>
    <row r="6" spans="1:14" x14ac:dyDescent="0.25">
      <c r="A6" s="516" t="s">
        <v>113575</v>
      </c>
      <c r="B6" s="516" t="s">
        <v>113581</v>
      </c>
      <c r="C6" s="518">
        <v>4</v>
      </c>
      <c r="D6" s="516" t="s">
        <v>113577</v>
      </c>
      <c r="E6" s="525">
        <v>22550000</v>
      </c>
      <c r="F6" s="516"/>
      <c r="G6" s="516" t="s">
        <v>113582</v>
      </c>
      <c r="H6" s="526">
        <v>1015475295</v>
      </c>
      <c r="I6" s="527">
        <v>45310</v>
      </c>
      <c r="K6" s="527">
        <v>45473</v>
      </c>
      <c r="L6" s="518">
        <f t="shared" si="0"/>
        <v>163</v>
      </c>
      <c r="M6" s="529">
        <f t="shared" si="1"/>
        <v>22550000</v>
      </c>
    </row>
    <row r="7" spans="1:14" x14ac:dyDescent="0.25">
      <c r="A7" s="516" t="s">
        <v>113583</v>
      </c>
      <c r="B7" s="516" t="s">
        <v>113584</v>
      </c>
      <c r="C7" s="518">
        <v>5</v>
      </c>
      <c r="D7" s="516" t="s">
        <v>113577</v>
      </c>
      <c r="E7" s="525">
        <v>31350000</v>
      </c>
      <c r="F7" s="516"/>
      <c r="G7" s="516" t="s">
        <v>113253</v>
      </c>
      <c r="H7" s="526">
        <v>79884031</v>
      </c>
      <c r="I7" s="531">
        <v>45310</v>
      </c>
      <c r="K7" s="527">
        <v>45473</v>
      </c>
      <c r="L7" s="518">
        <f t="shared" si="0"/>
        <v>163</v>
      </c>
      <c r="M7" s="529">
        <f t="shared" si="1"/>
        <v>31350000</v>
      </c>
    </row>
    <row r="8" spans="1:14" x14ac:dyDescent="0.25">
      <c r="A8" s="532" t="s">
        <v>113583</v>
      </c>
      <c r="B8" s="532" t="s">
        <v>113585</v>
      </c>
      <c r="C8" s="533">
        <v>6</v>
      </c>
      <c r="D8" s="532" t="s">
        <v>113577</v>
      </c>
      <c r="E8" s="534">
        <v>21900000</v>
      </c>
      <c r="F8" s="532"/>
      <c r="G8" s="532" t="s">
        <v>113586</v>
      </c>
      <c r="H8" s="535">
        <v>36067081</v>
      </c>
      <c r="I8" s="536">
        <v>45310</v>
      </c>
      <c r="J8" s="532"/>
      <c r="K8" s="537">
        <v>45401</v>
      </c>
      <c r="L8" s="533">
        <f t="shared" si="0"/>
        <v>91</v>
      </c>
      <c r="M8" s="538">
        <f t="shared" si="1"/>
        <v>21900000</v>
      </c>
    </row>
    <row r="9" spans="1:14" s="519" customFormat="1" x14ac:dyDescent="0.25">
      <c r="A9" s="519" t="s">
        <v>113587</v>
      </c>
      <c r="B9" s="519" t="s">
        <v>113588</v>
      </c>
      <c r="C9" s="539">
        <v>7</v>
      </c>
      <c r="D9" s="519" t="s">
        <v>113577</v>
      </c>
      <c r="E9" s="540">
        <v>40000000</v>
      </c>
      <c r="G9" s="519" t="s">
        <v>113589</v>
      </c>
      <c r="H9" s="526">
        <v>80250985</v>
      </c>
      <c r="I9" s="541">
        <v>45317</v>
      </c>
      <c r="K9" s="542">
        <v>45469</v>
      </c>
      <c r="L9" s="539">
        <f t="shared" si="0"/>
        <v>152</v>
      </c>
      <c r="M9" s="529">
        <f t="shared" si="1"/>
        <v>40000000</v>
      </c>
    </row>
    <row r="10" spans="1:14" x14ac:dyDescent="0.25">
      <c r="A10" s="516" t="s">
        <v>113587</v>
      </c>
      <c r="B10" s="516" t="s">
        <v>113590</v>
      </c>
      <c r="C10" s="518">
        <v>8</v>
      </c>
      <c r="D10" s="516" t="s">
        <v>113577</v>
      </c>
      <c r="E10" s="525">
        <v>28500000</v>
      </c>
      <c r="F10" s="516"/>
      <c r="G10" s="516" t="s">
        <v>113591</v>
      </c>
      <c r="H10" s="526">
        <v>79821918</v>
      </c>
      <c r="I10" s="531">
        <v>45314</v>
      </c>
      <c r="K10" s="527">
        <v>45466</v>
      </c>
      <c r="L10" s="518">
        <f t="shared" si="0"/>
        <v>152</v>
      </c>
      <c r="M10" s="529">
        <f t="shared" si="1"/>
        <v>28500000</v>
      </c>
    </row>
    <row r="11" spans="1:14" x14ac:dyDescent="0.25">
      <c r="A11" s="516" t="s">
        <v>113082</v>
      </c>
      <c r="B11" s="516" t="s">
        <v>113592</v>
      </c>
      <c r="C11" s="518">
        <v>9</v>
      </c>
      <c r="D11" s="516" t="s">
        <v>113577</v>
      </c>
      <c r="E11" s="525">
        <v>22550000</v>
      </c>
      <c r="F11" s="516"/>
      <c r="G11" s="516" t="s">
        <v>113593</v>
      </c>
      <c r="H11" s="526">
        <v>1022377452</v>
      </c>
      <c r="I11" s="527">
        <v>45314</v>
      </c>
      <c r="K11" s="527">
        <v>45473</v>
      </c>
      <c r="L11" s="518">
        <f t="shared" si="0"/>
        <v>159</v>
      </c>
      <c r="M11" s="529">
        <f t="shared" si="1"/>
        <v>22550000</v>
      </c>
    </row>
    <row r="12" spans="1:14" x14ac:dyDescent="0.25">
      <c r="A12" s="516" t="s">
        <v>113594</v>
      </c>
      <c r="B12" s="516" t="s">
        <v>113595</v>
      </c>
      <c r="C12" s="518">
        <v>10</v>
      </c>
      <c r="D12" s="516" t="s">
        <v>113577</v>
      </c>
      <c r="E12" s="525">
        <v>31350000</v>
      </c>
      <c r="F12" s="516"/>
      <c r="G12" s="516" t="s">
        <v>113596</v>
      </c>
      <c r="H12" s="526">
        <v>52386871</v>
      </c>
      <c r="I12" s="527">
        <v>45315</v>
      </c>
      <c r="K12" s="527">
        <v>45473</v>
      </c>
      <c r="L12" s="518">
        <f t="shared" si="0"/>
        <v>158</v>
      </c>
      <c r="M12" s="529">
        <f t="shared" si="1"/>
        <v>31350000</v>
      </c>
    </row>
    <row r="13" spans="1:14" x14ac:dyDescent="0.25">
      <c r="A13" s="516" t="s">
        <v>113536</v>
      </c>
      <c r="B13" s="516" t="s">
        <v>113597</v>
      </c>
      <c r="C13" s="518">
        <v>21</v>
      </c>
      <c r="D13" s="516" t="s">
        <v>113577</v>
      </c>
      <c r="E13" s="525">
        <v>45100000</v>
      </c>
      <c r="F13" s="516"/>
      <c r="G13" s="516" t="s">
        <v>113598</v>
      </c>
      <c r="H13" s="526">
        <v>1057591358</v>
      </c>
      <c r="I13" s="527">
        <v>45315</v>
      </c>
      <c r="K13" s="527">
        <v>45646</v>
      </c>
      <c r="L13" s="518">
        <f t="shared" si="0"/>
        <v>331</v>
      </c>
      <c r="M13" s="529">
        <f t="shared" si="1"/>
        <v>45100000</v>
      </c>
    </row>
    <row r="14" spans="1:14" x14ac:dyDescent="0.25">
      <c r="A14" s="516" t="s">
        <v>113000</v>
      </c>
      <c r="B14" s="516" t="s">
        <v>113599</v>
      </c>
      <c r="C14" s="518">
        <v>22</v>
      </c>
      <c r="D14" s="516" t="s">
        <v>113577</v>
      </c>
      <c r="E14" s="525">
        <v>29700000</v>
      </c>
      <c r="F14" s="516"/>
      <c r="G14" s="516" t="s">
        <v>113600</v>
      </c>
      <c r="H14" s="526">
        <v>80259842</v>
      </c>
      <c r="I14" s="527">
        <v>45344</v>
      </c>
      <c r="K14" s="527">
        <v>45641</v>
      </c>
      <c r="L14" s="518">
        <f t="shared" si="0"/>
        <v>297</v>
      </c>
      <c r="M14" s="529">
        <f t="shared" si="1"/>
        <v>29700000</v>
      </c>
    </row>
    <row r="15" spans="1:14" s="519" customFormat="1" x14ac:dyDescent="0.25">
      <c r="A15" s="519" t="s">
        <v>113601</v>
      </c>
      <c r="B15" s="519" t="s">
        <v>113602</v>
      </c>
      <c r="C15" s="539">
        <v>23</v>
      </c>
      <c r="D15" s="519" t="s">
        <v>113577</v>
      </c>
      <c r="E15" s="543">
        <v>41000000</v>
      </c>
      <c r="G15" s="519" t="s">
        <v>113603</v>
      </c>
      <c r="H15" s="526">
        <v>1022421683</v>
      </c>
      <c r="I15" s="542">
        <v>45323</v>
      </c>
      <c r="K15" s="542">
        <v>45626</v>
      </c>
      <c r="L15" s="539">
        <f t="shared" si="0"/>
        <v>303</v>
      </c>
      <c r="M15" s="529">
        <f t="shared" si="1"/>
        <v>41000000</v>
      </c>
    </row>
    <row r="16" spans="1:14" s="519" customFormat="1" x14ac:dyDescent="0.25">
      <c r="A16" s="519" t="s">
        <v>113601</v>
      </c>
      <c r="B16" s="519" t="s">
        <v>113604</v>
      </c>
      <c r="C16" s="539">
        <v>24</v>
      </c>
      <c r="D16" s="519" t="s">
        <v>113577</v>
      </c>
      <c r="E16" s="543">
        <v>28700000</v>
      </c>
      <c r="G16" s="519" t="s">
        <v>113603</v>
      </c>
      <c r="H16" s="526">
        <v>1070618352</v>
      </c>
      <c r="I16" s="542">
        <v>45323</v>
      </c>
      <c r="K16" s="542">
        <v>45534</v>
      </c>
      <c r="L16" s="539">
        <f t="shared" si="0"/>
        <v>211</v>
      </c>
      <c r="M16" s="529">
        <f t="shared" si="1"/>
        <v>28700000</v>
      </c>
    </row>
    <row r="17" spans="1:13" s="519" customFormat="1" x14ac:dyDescent="0.25">
      <c r="A17" s="519" t="s">
        <v>113601</v>
      </c>
      <c r="B17" s="519" t="s">
        <v>113605</v>
      </c>
      <c r="C17" s="539">
        <v>25</v>
      </c>
      <c r="D17" s="519" t="s">
        <v>113577</v>
      </c>
      <c r="E17" s="543">
        <v>57000000</v>
      </c>
      <c r="G17" s="519" t="s">
        <v>113606</v>
      </c>
      <c r="H17" s="526">
        <v>7188384</v>
      </c>
      <c r="I17" s="542">
        <v>45323</v>
      </c>
      <c r="K17" s="542">
        <v>45626</v>
      </c>
      <c r="L17" s="539">
        <f t="shared" si="0"/>
        <v>303</v>
      </c>
      <c r="M17" s="529">
        <f t="shared" si="1"/>
        <v>57000000</v>
      </c>
    </row>
    <row r="18" spans="1:13" s="519" customFormat="1" x14ac:dyDescent="0.25">
      <c r="A18" s="519" t="s">
        <v>113601</v>
      </c>
      <c r="B18" s="519" t="s">
        <v>113607</v>
      </c>
      <c r="C18" s="539">
        <v>26</v>
      </c>
      <c r="D18" s="519" t="s">
        <v>113577</v>
      </c>
      <c r="E18" s="543">
        <v>41000000</v>
      </c>
      <c r="G18" s="519" t="s">
        <v>113608</v>
      </c>
      <c r="H18" s="526">
        <v>1014194325</v>
      </c>
      <c r="I18" s="542">
        <v>45323</v>
      </c>
      <c r="K18" s="542">
        <v>45626</v>
      </c>
      <c r="L18" s="539">
        <f t="shared" si="0"/>
        <v>303</v>
      </c>
      <c r="M18" s="529">
        <f t="shared" si="1"/>
        <v>41000000</v>
      </c>
    </row>
    <row r="19" spans="1:13" s="519" customFormat="1" x14ac:dyDescent="0.25">
      <c r="A19" s="519" t="s">
        <v>113601</v>
      </c>
      <c r="B19" s="519" t="s">
        <v>113609</v>
      </c>
      <c r="C19" s="539">
        <v>27</v>
      </c>
      <c r="D19" s="519" t="s">
        <v>113577</v>
      </c>
      <c r="E19" s="543">
        <v>57000000</v>
      </c>
      <c r="G19" s="519" t="s">
        <v>113610</v>
      </c>
      <c r="H19" s="526">
        <v>1098638569</v>
      </c>
      <c r="I19" s="542">
        <v>45323</v>
      </c>
      <c r="K19" s="542">
        <v>45626</v>
      </c>
      <c r="L19" s="539">
        <f t="shared" si="0"/>
        <v>303</v>
      </c>
      <c r="M19" s="529">
        <f t="shared" si="1"/>
        <v>57000000</v>
      </c>
    </row>
    <row r="20" spans="1:13" s="544" customFormat="1" x14ac:dyDescent="0.25">
      <c r="A20" s="519" t="s">
        <v>113601</v>
      </c>
      <c r="B20" s="519" t="s">
        <v>113611</v>
      </c>
      <c r="C20" s="539">
        <v>28</v>
      </c>
      <c r="D20" s="544" t="s">
        <v>113577</v>
      </c>
      <c r="E20" s="540">
        <v>41000000</v>
      </c>
      <c r="F20" s="519"/>
      <c r="G20" s="519" t="s">
        <v>113612</v>
      </c>
      <c r="H20" s="526">
        <v>1023925950</v>
      </c>
      <c r="I20" s="542">
        <v>45323</v>
      </c>
      <c r="J20" s="519"/>
      <c r="K20" s="542">
        <v>45626</v>
      </c>
      <c r="L20" s="539">
        <f t="shared" si="0"/>
        <v>303</v>
      </c>
      <c r="M20" s="529">
        <f t="shared" si="1"/>
        <v>41000000</v>
      </c>
    </row>
    <row r="21" spans="1:13" s="544" customFormat="1" x14ac:dyDescent="0.25">
      <c r="A21" s="519" t="s">
        <v>113601</v>
      </c>
      <c r="B21" s="519" t="s">
        <v>113613</v>
      </c>
      <c r="C21" s="539">
        <v>29</v>
      </c>
      <c r="D21" s="544" t="s">
        <v>113577</v>
      </c>
      <c r="E21" s="540">
        <v>16400000</v>
      </c>
      <c r="F21" s="519"/>
      <c r="G21" s="519" t="s">
        <v>113614</v>
      </c>
      <c r="H21" s="526">
        <v>1026298909</v>
      </c>
      <c r="I21" s="542">
        <v>45323</v>
      </c>
      <c r="J21" s="519"/>
      <c r="K21" s="542">
        <v>45442</v>
      </c>
      <c r="L21" s="539">
        <f t="shared" si="0"/>
        <v>119</v>
      </c>
      <c r="M21" s="529">
        <f t="shared" si="1"/>
        <v>16400000</v>
      </c>
    </row>
    <row r="22" spans="1:13" s="544" customFormat="1" x14ac:dyDescent="0.25">
      <c r="A22" s="519" t="s">
        <v>113601</v>
      </c>
      <c r="B22" s="519" t="s">
        <v>113615</v>
      </c>
      <c r="C22" s="539">
        <v>30</v>
      </c>
      <c r="D22" s="544" t="s">
        <v>113577</v>
      </c>
      <c r="E22" s="540">
        <v>28700000</v>
      </c>
      <c r="F22" s="519"/>
      <c r="G22" s="519" t="s">
        <v>113614</v>
      </c>
      <c r="H22" s="526">
        <v>1018437320</v>
      </c>
      <c r="I22" s="542">
        <v>45323</v>
      </c>
      <c r="J22" s="519"/>
      <c r="K22" s="542">
        <v>45534</v>
      </c>
      <c r="L22" s="539">
        <f t="shared" si="0"/>
        <v>211</v>
      </c>
      <c r="M22" s="529">
        <f t="shared" si="1"/>
        <v>28700000</v>
      </c>
    </row>
    <row r="23" spans="1:13" s="544" customFormat="1" x14ac:dyDescent="0.25">
      <c r="A23" s="519" t="s">
        <v>113601</v>
      </c>
      <c r="B23" s="519" t="s">
        <v>113616</v>
      </c>
      <c r="C23" s="539">
        <v>31</v>
      </c>
      <c r="D23" s="544" t="s">
        <v>113577</v>
      </c>
      <c r="E23" s="540">
        <v>16400000</v>
      </c>
      <c r="F23" s="519"/>
      <c r="G23" s="519" t="s">
        <v>113608</v>
      </c>
      <c r="H23" s="526">
        <v>1110568494</v>
      </c>
      <c r="I23" s="542">
        <v>45323</v>
      </c>
      <c r="J23" s="519"/>
      <c r="K23" s="542">
        <v>45442</v>
      </c>
      <c r="L23" s="539">
        <f t="shared" si="0"/>
        <v>119</v>
      </c>
      <c r="M23" s="529">
        <f t="shared" si="1"/>
        <v>16400000</v>
      </c>
    </row>
    <row r="24" spans="1:13" s="544" customFormat="1" x14ac:dyDescent="0.25">
      <c r="A24" s="519" t="s">
        <v>113601</v>
      </c>
      <c r="B24" s="519" t="s">
        <v>113617</v>
      </c>
      <c r="C24" s="539">
        <v>32</v>
      </c>
      <c r="D24" s="544" t="s">
        <v>113577</v>
      </c>
      <c r="E24" s="540">
        <v>16400000</v>
      </c>
      <c r="F24" s="519"/>
      <c r="G24" s="519" t="s">
        <v>113608</v>
      </c>
      <c r="H24" s="526">
        <v>1019071977</v>
      </c>
      <c r="I24" s="542">
        <v>45323</v>
      </c>
      <c r="J24" s="519"/>
      <c r="K24" s="542">
        <v>45442</v>
      </c>
      <c r="L24" s="539">
        <f t="shared" si="0"/>
        <v>119</v>
      </c>
      <c r="M24" s="529">
        <f t="shared" si="1"/>
        <v>16400000</v>
      </c>
    </row>
    <row r="25" spans="1:13" s="544" customFormat="1" x14ac:dyDescent="0.25">
      <c r="A25" s="519" t="s">
        <v>113601</v>
      </c>
      <c r="B25" s="519" t="s">
        <v>113618</v>
      </c>
      <c r="C25" s="539">
        <v>33</v>
      </c>
      <c r="D25" s="544" t="s">
        <v>113577</v>
      </c>
      <c r="E25" s="540">
        <v>15600000</v>
      </c>
      <c r="F25" s="519"/>
      <c r="G25" s="519" t="s">
        <v>113619</v>
      </c>
      <c r="H25" s="526">
        <v>1007413934</v>
      </c>
      <c r="I25" s="542">
        <v>45323</v>
      </c>
      <c r="J25" s="519"/>
      <c r="K25" s="542">
        <v>45503</v>
      </c>
      <c r="L25" s="539">
        <f t="shared" si="0"/>
        <v>180</v>
      </c>
      <c r="M25" s="529">
        <f t="shared" si="1"/>
        <v>15600000</v>
      </c>
    </row>
    <row r="26" spans="1:13" s="545" customFormat="1" x14ac:dyDescent="0.25">
      <c r="A26" s="516" t="s">
        <v>113601</v>
      </c>
      <c r="B26" s="516" t="s">
        <v>113620</v>
      </c>
      <c r="C26" s="518">
        <v>34</v>
      </c>
      <c r="D26" s="545" t="s">
        <v>113577</v>
      </c>
      <c r="E26" s="525">
        <v>10400000</v>
      </c>
      <c r="F26" s="516"/>
      <c r="G26" s="516" t="s">
        <v>113606</v>
      </c>
      <c r="H26" s="526">
        <v>52457222</v>
      </c>
      <c r="I26" s="527">
        <v>45323</v>
      </c>
      <c r="J26" s="516"/>
      <c r="K26" s="527">
        <v>45442</v>
      </c>
      <c r="L26" s="518">
        <f t="shared" si="0"/>
        <v>119</v>
      </c>
      <c r="M26" s="529">
        <f t="shared" si="1"/>
        <v>10400000</v>
      </c>
    </row>
    <row r="27" spans="1:13" x14ac:dyDescent="0.25">
      <c r="A27" s="516" t="s">
        <v>113601</v>
      </c>
      <c r="B27" s="516" t="s">
        <v>113621</v>
      </c>
      <c r="C27" s="518">
        <v>35</v>
      </c>
      <c r="D27" s="516" t="s">
        <v>113577</v>
      </c>
      <c r="E27" s="525">
        <v>11400000</v>
      </c>
      <c r="F27" s="516"/>
      <c r="G27" s="516" t="s">
        <v>113606</v>
      </c>
      <c r="H27" s="526">
        <v>1049628735</v>
      </c>
      <c r="I27" s="527">
        <v>45323</v>
      </c>
      <c r="K27" s="527">
        <v>45381</v>
      </c>
      <c r="L27" s="518">
        <f t="shared" si="0"/>
        <v>58</v>
      </c>
      <c r="M27" s="529">
        <f t="shared" si="1"/>
        <v>11400000</v>
      </c>
    </row>
    <row r="28" spans="1:13" s="519" customFormat="1" x14ac:dyDescent="0.25">
      <c r="A28" s="519" t="s">
        <v>113622</v>
      </c>
      <c r="B28" s="519" t="s">
        <v>113623</v>
      </c>
      <c r="C28" s="539">
        <v>36</v>
      </c>
      <c r="D28" s="519" t="s">
        <v>113577</v>
      </c>
      <c r="E28" s="540">
        <v>27646666.670000002</v>
      </c>
      <c r="G28" s="519" t="s">
        <v>113272</v>
      </c>
      <c r="H28" s="526">
        <v>52148366</v>
      </c>
      <c r="I28" s="542">
        <v>45327</v>
      </c>
      <c r="K28" s="542">
        <v>45641</v>
      </c>
      <c r="L28" s="539">
        <f t="shared" si="0"/>
        <v>314</v>
      </c>
      <c r="M28" s="529">
        <v>27646666.670000002</v>
      </c>
    </row>
    <row r="29" spans="1:13" s="545" customFormat="1" x14ac:dyDescent="0.25">
      <c r="A29" s="545" t="s">
        <v>113622</v>
      </c>
      <c r="B29" s="545" t="s">
        <v>113624</v>
      </c>
      <c r="C29" s="546">
        <v>37</v>
      </c>
      <c r="D29" s="545" t="s">
        <v>113577</v>
      </c>
      <c r="E29" s="547">
        <v>11900000</v>
      </c>
      <c r="G29" s="545" t="s">
        <v>113272</v>
      </c>
      <c r="H29" s="548">
        <v>80859869</v>
      </c>
      <c r="I29" s="549">
        <v>45328</v>
      </c>
      <c r="K29" s="549">
        <v>45537</v>
      </c>
      <c r="L29" s="546">
        <f t="shared" si="0"/>
        <v>209</v>
      </c>
      <c r="M29" s="529">
        <v>11900000</v>
      </c>
    </row>
    <row r="30" spans="1:13" s="519" customFormat="1" x14ac:dyDescent="0.25">
      <c r="A30" s="519" t="s">
        <v>113622</v>
      </c>
      <c r="B30" s="519" t="s">
        <v>113625</v>
      </c>
      <c r="C30" s="539">
        <v>38</v>
      </c>
      <c r="D30" s="519" t="s">
        <v>113577</v>
      </c>
      <c r="E30" s="540">
        <v>23400000</v>
      </c>
      <c r="G30" s="519" t="s">
        <v>113272</v>
      </c>
      <c r="H30" s="526">
        <v>80801605</v>
      </c>
      <c r="I30" s="542">
        <v>45327</v>
      </c>
      <c r="K30" s="542">
        <v>45601</v>
      </c>
      <c r="L30" s="539">
        <f t="shared" si="0"/>
        <v>274</v>
      </c>
      <c r="M30" s="529">
        <v>23400000</v>
      </c>
    </row>
    <row r="31" spans="1:13" s="519" customFormat="1" x14ac:dyDescent="0.25">
      <c r="A31" s="519" t="s">
        <v>113622</v>
      </c>
      <c r="B31" s="519" t="s">
        <v>113626</v>
      </c>
      <c r="C31" s="539">
        <v>39</v>
      </c>
      <c r="D31" s="519" t="s">
        <v>113577</v>
      </c>
      <c r="E31" s="540">
        <v>11900000</v>
      </c>
      <c r="G31" s="519" t="s">
        <v>113627</v>
      </c>
      <c r="H31" s="526">
        <v>1077966528</v>
      </c>
      <c r="I31" s="542">
        <v>45327</v>
      </c>
      <c r="K31" s="542">
        <v>45540</v>
      </c>
      <c r="L31" s="539">
        <f t="shared" si="0"/>
        <v>213</v>
      </c>
      <c r="M31" s="529">
        <v>11900000</v>
      </c>
    </row>
    <row r="32" spans="1:13" s="544" customFormat="1" x14ac:dyDescent="0.25">
      <c r="A32" s="544" t="s">
        <v>113601</v>
      </c>
      <c r="B32" s="516" t="s">
        <v>113628</v>
      </c>
      <c r="C32" s="518">
        <v>45</v>
      </c>
      <c r="D32" s="544" t="s">
        <v>113577</v>
      </c>
      <c r="E32" s="550">
        <v>34200000</v>
      </c>
      <c r="G32" s="544" t="s">
        <v>113629</v>
      </c>
      <c r="H32" s="548">
        <v>32184648</v>
      </c>
      <c r="I32" s="551">
        <v>45341</v>
      </c>
      <c r="K32" s="552">
        <v>45522</v>
      </c>
      <c r="L32" s="553">
        <f t="shared" si="0"/>
        <v>181</v>
      </c>
      <c r="M32" s="529">
        <v>34200000</v>
      </c>
    </row>
    <row r="33" spans="1:13" x14ac:dyDescent="0.25">
      <c r="A33" s="516" t="s">
        <v>113575</v>
      </c>
      <c r="B33" s="516" t="s">
        <v>113630</v>
      </c>
      <c r="C33" s="518">
        <v>47</v>
      </c>
      <c r="D33" s="516" t="s">
        <v>113577</v>
      </c>
      <c r="E33" s="525">
        <v>22800000</v>
      </c>
      <c r="F33" s="516"/>
      <c r="G33" s="516" t="s">
        <v>113348</v>
      </c>
      <c r="H33" s="526">
        <v>36066378</v>
      </c>
      <c r="I33" s="531">
        <v>45344</v>
      </c>
      <c r="K33" s="527">
        <v>45465</v>
      </c>
      <c r="L33" s="518">
        <f t="shared" si="0"/>
        <v>121</v>
      </c>
      <c r="M33" s="529">
        <v>22800000</v>
      </c>
    </row>
    <row r="34" spans="1:13" x14ac:dyDescent="0.25">
      <c r="A34" s="516" t="s">
        <v>113587</v>
      </c>
      <c r="B34" s="516" t="s">
        <v>113631</v>
      </c>
      <c r="C34" s="518">
        <v>48</v>
      </c>
      <c r="D34" s="516" t="s">
        <v>113577</v>
      </c>
      <c r="E34" s="525">
        <v>20500000</v>
      </c>
      <c r="F34" s="516"/>
      <c r="G34" s="516" t="s">
        <v>113632</v>
      </c>
      <c r="H34" s="526">
        <v>93437613</v>
      </c>
      <c r="I34" s="531">
        <v>45345</v>
      </c>
      <c r="K34" s="527">
        <v>45496</v>
      </c>
      <c r="L34" s="518">
        <f t="shared" si="0"/>
        <v>151</v>
      </c>
      <c r="M34" s="529">
        <v>20500000</v>
      </c>
    </row>
    <row r="35" spans="1:13" s="519" customFormat="1" x14ac:dyDescent="0.25">
      <c r="A35" s="519" t="s">
        <v>113633</v>
      </c>
      <c r="B35" s="519" t="s">
        <v>113634</v>
      </c>
      <c r="C35" s="539">
        <v>49</v>
      </c>
      <c r="D35" s="519" t="s">
        <v>113577</v>
      </c>
      <c r="E35" s="540">
        <v>16000000</v>
      </c>
      <c r="G35" s="519" t="s">
        <v>113635</v>
      </c>
      <c r="H35" s="526">
        <v>1030644746</v>
      </c>
      <c r="I35" s="541">
        <v>45352</v>
      </c>
      <c r="K35" s="542">
        <v>45534</v>
      </c>
      <c r="L35" s="539">
        <f t="shared" si="0"/>
        <v>182</v>
      </c>
      <c r="M35" s="529">
        <v>16000000</v>
      </c>
    </row>
    <row r="36" spans="1:13" s="519" customFormat="1" x14ac:dyDescent="0.25">
      <c r="A36" s="519" t="s">
        <v>113633</v>
      </c>
      <c r="B36" s="519" t="s">
        <v>113636</v>
      </c>
      <c r="C36" s="539">
        <v>50</v>
      </c>
      <c r="D36" s="519" t="s">
        <v>113577</v>
      </c>
      <c r="E36" s="540">
        <v>16000000</v>
      </c>
      <c r="G36" s="519" t="s">
        <v>113637</v>
      </c>
      <c r="H36" s="526">
        <v>1020751167</v>
      </c>
      <c r="I36" s="541">
        <v>45352</v>
      </c>
      <c r="K36" s="542">
        <v>45534</v>
      </c>
      <c r="L36" s="539">
        <f t="shared" si="0"/>
        <v>182</v>
      </c>
      <c r="M36" s="529">
        <v>16000000</v>
      </c>
    </row>
    <row r="37" spans="1:13" x14ac:dyDescent="0.25">
      <c r="A37" s="516" t="s">
        <v>113601</v>
      </c>
      <c r="B37" s="516" t="s">
        <v>113638</v>
      </c>
      <c r="C37" s="518">
        <v>82</v>
      </c>
      <c r="D37" s="516" t="s">
        <v>113577</v>
      </c>
      <c r="E37" s="525">
        <v>28500000</v>
      </c>
      <c r="F37" s="516"/>
      <c r="G37" s="516" t="s">
        <v>113606</v>
      </c>
      <c r="H37" s="516">
        <v>7178220</v>
      </c>
      <c r="I37" s="531">
        <v>45391</v>
      </c>
      <c r="K37" s="527">
        <v>45543</v>
      </c>
      <c r="L37" s="518">
        <f t="shared" si="0"/>
        <v>152</v>
      </c>
      <c r="M37" s="529">
        <v>28500000</v>
      </c>
    </row>
    <row r="38" spans="1:13" x14ac:dyDescent="0.25">
      <c r="A38" s="516" t="s">
        <v>113601</v>
      </c>
      <c r="B38" s="516" t="s">
        <v>113639</v>
      </c>
      <c r="C38" s="518">
        <v>83</v>
      </c>
      <c r="D38" s="516" t="s">
        <v>113577</v>
      </c>
      <c r="E38" s="525">
        <v>4100000</v>
      </c>
      <c r="F38" s="516"/>
      <c r="G38" s="516" t="s">
        <v>113640</v>
      </c>
      <c r="H38" s="516">
        <v>1026276538</v>
      </c>
      <c r="I38" s="531">
        <v>45392</v>
      </c>
      <c r="K38" s="527">
        <v>45422</v>
      </c>
      <c r="L38" s="518">
        <f t="shared" si="0"/>
        <v>30</v>
      </c>
      <c r="M38" s="529">
        <v>4100000</v>
      </c>
    </row>
    <row r="39" spans="1:13" x14ac:dyDescent="0.25">
      <c r="A39" s="516" t="s">
        <v>113587</v>
      </c>
      <c r="B39" s="516" t="s">
        <v>113641</v>
      </c>
      <c r="C39" s="518">
        <v>84</v>
      </c>
      <c r="D39" s="516" t="s">
        <v>113577</v>
      </c>
      <c r="E39" s="525">
        <v>30000000</v>
      </c>
      <c r="F39" s="516"/>
      <c r="G39" s="516" t="s">
        <v>113642</v>
      </c>
      <c r="H39" s="516">
        <v>1098695730</v>
      </c>
      <c r="I39" s="531">
        <v>45392</v>
      </c>
      <c r="K39" s="527">
        <v>45545</v>
      </c>
      <c r="L39" s="518">
        <f t="shared" si="0"/>
        <v>153</v>
      </c>
      <c r="M39" s="529">
        <v>30000000</v>
      </c>
    </row>
    <row r="40" spans="1:13" x14ac:dyDescent="0.25">
      <c r="A40" s="516" t="s">
        <v>113587</v>
      </c>
      <c r="B40" s="516" t="s">
        <v>113643</v>
      </c>
      <c r="C40" s="518">
        <v>97</v>
      </c>
      <c r="D40" s="516" t="s">
        <v>113577</v>
      </c>
      <c r="E40" s="525">
        <v>36000000</v>
      </c>
      <c r="F40" s="516"/>
      <c r="G40" s="516" t="s">
        <v>113644</v>
      </c>
      <c r="H40" s="516">
        <v>1013622268</v>
      </c>
      <c r="I40" s="531">
        <v>45421</v>
      </c>
      <c r="K40" s="527">
        <v>45605</v>
      </c>
      <c r="L40" s="518">
        <f t="shared" si="0"/>
        <v>184</v>
      </c>
      <c r="M40" s="529">
        <v>36000000</v>
      </c>
    </row>
    <row r="41" spans="1:13" x14ac:dyDescent="0.25">
      <c r="A41" s="516" t="s">
        <v>113082</v>
      </c>
      <c r="B41" s="516" t="s">
        <v>113645</v>
      </c>
      <c r="C41" s="518">
        <v>99</v>
      </c>
      <c r="D41" s="516" t="s">
        <v>113577</v>
      </c>
      <c r="E41" s="525">
        <v>19500000</v>
      </c>
      <c r="F41" s="516"/>
      <c r="G41" s="516" t="s">
        <v>113371</v>
      </c>
      <c r="H41" s="516">
        <v>80156703</v>
      </c>
      <c r="I41" s="531">
        <v>45428</v>
      </c>
      <c r="K41" s="527">
        <v>45656</v>
      </c>
      <c r="L41" s="518">
        <f t="shared" si="0"/>
        <v>228</v>
      </c>
      <c r="M41" s="529">
        <v>19500000</v>
      </c>
    </row>
    <row r="42" spans="1:13" x14ac:dyDescent="0.25">
      <c r="A42" s="516" t="s">
        <v>113601</v>
      </c>
      <c r="B42" s="516" t="s">
        <v>113646</v>
      </c>
      <c r="C42" s="518">
        <v>101</v>
      </c>
      <c r="D42" s="516" t="s">
        <v>113577</v>
      </c>
      <c r="E42" s="525">
        <v>16400000</v>
      </c>
      <c r="F42" s="516"/>
      <c r="G42" s="516" t="s">
        <v>113603</v>
      </c>
      <c r="H42" s="516">
        <v>111026275</v>
      </c>
      <c r="I42" s="531">
        <v>45443</v>
      </c>
      <c r="K42" s="527">
        <v>45565</v>
      </c>
      <c r="L42" s="518">
        <f t="shared" si="0"/>
        <v>122</v>
      </c>
      <c r="M42" s="529">
        <v>16400000</v>
      </c>
    </row>
    <row r="43" spans="1:13" x14ac:dyDescent="0.25">
      <c r="A43" s="516" t="s">
        <v>113097</v>
      </c>
      <c r="B43" s="516" t="s">
        <v>113647</v>
      </c>
      <c r="C43" s="518">
        <v>105</v>
      </c>
      <c r="D43" s="516" t="s">
        <v>113577</v>
      </c>
      <c r="E43" s="525">
        <v>9600000</v>
      </c>
      <c r="F43" s="516"/>
      <c r="G43" s="516" t="s">
        <v>113648</v>
      </c>
      <c r="H43" s="516">
        <v>1023036810</v>
      </c>
      <c r="I43" s="531">
        <v>45462</v>
      </c>
      <c r="J43" s="525">
        <v>4800000</v>
      </c>
      <c r="K43" s="527">
        <v>45598</v>
      </c>
      <c r="L43" s="518">
        <f t="shared" si="0"/>
        <v>136</v>
      </c>
      <c r="M43" s="529">
        <f>J43+E43</f>
        <v>14400000</v>
      </c>
    </row>
    <row r="44" spans="1:13" x14ac:dyDescent="0.25">
      <c r="A44" s="516" t="s">
        <v>113601</v>
      </c>
      <c r="B44" s="516" t="s">
        <v>113649</v>
      </c>
      <c r="C44" s="518">
        <v>106</v>
      </c>
      <c r="D44" s="516" t="s">
        <v>113577</v>
      </c>
      <c r="E44" s="554">
        <v>16400000</v>
      </c>
      <c r="F44" s="516"/>
      <c r="G44" s="516" t="s">
        <v>113650</v>
      </c>
      <c r="H44" s="516">
        <v>1098638570</v>
      </c>
      <c r="I44" s="531">
        <v>45460</v>
      </c>
      <c r="K44" s="527">
        <v>45581</v>
      </c>
      <c r="L44" s="518">
        <f t="shared" si="0"/>
        <v>121</v>
      </c>
      <c r="M44" s="529">
        <v>16400000</v>
      </c>
    </row>
    <row r="45" spans="1:13" x14ac:dyDescent="0.25">
      <c r="A45" s="516" t="s">
        <v>113601</v>
      </c>
      <c r="B45" s="516" t="s">
        <v>113651</v>
      </c>
      <c r="C45" s="518">
        <v>107</v>
      </c>
      <c r="D45" s="516" t="s">
        <v>113577</v>
      </c>
      <c r="E45" s="554">
        <v>12800000</v>
      </c>
      <c r="F45" s="516"/>
      <c r="G45" s="516" t="s">
        <v>113652</v>
      </c>
      <c r="H45" s="516">
        <v>52457222</v>
      </c>
      <c r="I45" s="531">
        <v>45457</v>
      </c>
      <c r="K45" s="527">
        <v>45578</v>
      </c>
      <c r="L45" s="518">
        <f t="shared" si="0"/>
        <v>121</v>
      </c>
      <c r="M45" s="529">
        <v>12800000</v>
      </c>
    </row>
    <row r="46" spans="1:13" x14ac:dyDescent="0.25">
      <c r="A46" s="516" t="s">
        <v>113601</v>
      </c>
      <c r="B46" s="516" t="s">
        <v>113653</v>
      </c>
      <c r="C46" s="518">
        <v>108</v>
      </c>
      <c r="D46" s="516" t="s">
        <v>113577</v>
      </c>
      <c r="E46" s="554">
        <v>16400000</v>
      </c>
      <c r="F46" s="516"/>
      <c r="G46" s="516" t="s">
        <v>113652</v>
      </c>
      <c r="H46" s="516">
        <v>1110568494</v>
      </c>
      <c r="I46" s="531">
        <v>45457</v>
      </c>
      <c r="K46" s="527">
        <v>45578</v>
      </c>
      <c r="L46" s="518">
        <f t="shared" si="0"/>
        <v>121</v>
      </c>
      <c r="M46" s="529">
        <v>16400000</v>
      </c>
    </row>
    <row r="47" spans="1:13" x14ac:dyDescent="0.25">
      <c r="A47" s="516" t="s">
        <v>113601</v>
      </c>
      <c r="B47" s="516" t="s">
        <v>113617</v>
      </c>
      <c r="C47" s="518">
        <v>109</v>
      </c>
      <c r="D47" s="516" t="s">
        <v>113577</v>
      </c>
      <c r="E47" s="554">
        <v>16400000</v>
      </c>
      <c r="F47" s="516"/>
      <c r="G47" s="516" t="s">
        <v>113652</v>
      </c>
      <c r="H47" s="516">
        <v>1019071977</v>
      </c>
      <c r="I47" s="531">
        <v>45457</v>
      </c>
      <c r="K47" s="527">
        <v>45578</v>
      </c>
      <c r="L47" s="518">
        <f t="shared" si="0"/>
        <v>121</v>
      </c>
      <c r="M47" s="529">
        <v>16400000</v>
      </c>
    </row>
    <row r="48" spans="1:13" x14ac:dyDescent="0.25">
      <c r="A48" s="516" t="s">
        <v>113575</v>
      </c>
      <c r="B48" s="516" t="s">
        <v>113654</v>
      </c>
      <c r="C48" s="518">
        <v>111</v>
      </c>
      <c r="D48" s="516" t="s">
        <v>113577</v>
      </c>
      <c r="E48" s="525">
        <v>35340000</v>
      </c>
      <c r="F48" s="516"/>
      <c r="G48" s="516" t="s">
        <v>113655</v>
      </c>
      <c r="H48" s="516">
        <v>1110472062</v>
      </c>
      <c r="I48" s="527">
        <v>45460</v>
      </c>
      <c r="K48" s="527">
        <v>45646</v>
      </c>
      <c r="L48" s="518">
        <f t="shared" si="0"/>
        <v>186</v>
      </c>
      <c r="M48" s="529">
        <v>35340000</v>
      </c>
    </row>
    <row r="49" spans="1:13" s="519" customFormat="1" x14ac:dyDescent="0.25">
      <c r="A49" s="519" t="s">
        <v>113575</v>
      </c>
      <c r="B49" s="519" t="s">
        <v>113656</v>
      </c>
      <c r="C49" s="539">
        <v>112</v>
      </c>
      <c r="D49" s="519" t="s">
        <v>113577</v>
      </c>
      <c r="E49" s="540">
        <v>34390000</v>
      </c>
      <c r="G49" s="519" t="s">
        <v>113267</v>
      </c>
      <c r="H49" s="516">
        <v>60446247</v>
      </c>
      <c r="I49" s="541">
        <v>45460</v>
      </c>
      <c r="K49" s="542">
        <v>45641</v>
      </c>
      <c r="L49" s="539">
        <f t="shared" si="0"/>
        <v>181</v>
      </c>
      <c r="M49" s="529">
        <v>34390000</v>
      </c>
    </row>
    <row r="50" spans="1:13" x14ac:dyDescent="0.25">
      <c r="A50" s="516" t="s">
        <v>113657</v>
      </c>
      <c r="B50" s="516" t="s">
        <v>113658</v>
      </c>
      <c r="C50" s="518">
        <v>114</v>
      </c>
      <c r="D50" s="516" t="s">
        <v>113577</v>
      </c>
      <c r="E50" s="525">
        <v>34200000</v>
      </c>
      <c r="F50" s="516"/>
      <c r="G50" s="516" t="s">
        <v>113659</v>
      </c>
      <c r="H50" s="516">
        <v>1031130481</v>
      </c>
      <c r="I50" s="541">
        <v>45477</v>
      </c>
      <c r="K50" s="527">
        <v>45646</v>
      </c>
      <c r="L50" s="518">
        <f t="shared" si="0"/>
        <v>169</v>
      </c>
      <c r="M50" s="529">
        <v>34200000</v>
      </c>
    </row>
    <row r="51" spans="1:13" x14ac:dyDescent="0.25">
      <c r="A51" s="516" t="s">
        <v>113587</v>
      </c>
      <c r="B51" s="516" t="s">
        <v>113660</v>
      </c>
      <c r="C51" s="518">
        <v>115</v>
      </c>
      <c r="D51" s="516" t="s">
        <v>113577</v>
      </c>
      <c r="E51" s="525">
        <v>34200000</v>
      </c>
      <c r="F51" s="516"/>
      <c r="G51" s="516" t="s">
        <v>113661</v>
      </c>
      <c r="H51" s="516">
        <v>1023883736</v>
      </c>
      <c r="I51" s="541">
        <v>45474</v>
      </c>
      <c r="K51" s="527">
        <v>45657</v>
      </c>
      <c r="L51" s="518">
        <f t="shared" si="0"/>
        <v>183</v>
      </c>
      <c r="M51" s="529">
        <v>34200000</v>
      </c>
    </row>
    <row r="52" spans="1:13" x14ac:dyDescent="0.25">
      <c r="A52" s="516" t="s">
        <v>113575</v>
      </c>
      <c r="B52" s="516" t="s">
        <v>113578</v>
      </c>
      <c r="C52" s="518">
        <v>116</v>
      </c>
      <c r="D52" s="516" t="s">
        <v>113577</v>
      </c>
      <c r="E52" s="525">
        <v>32300000</v>
      </c>
      <c r="F52" s="516"/>
      <c r="G52" s="516" t="s">
        <v>113579</v>
      </c>
      <c r="H52" s="516">
        <v>1026259645</v>
      </c>
      <c r="I52" s="541">
        <v>45477</v>
      </c>
      <c r="K52" s="527">
        <v>45646</v>
      </c>
      <c r="L52" s="518">
        <f t="shared" si="0"/>
        <v>169</v>
      </c>
      <c r="M52" s="529">
        <v>32300000</v>
      </c>
    </row>
    <row r="53" spans="1:13" x14ac:dyDescent="0.25">
      <c r="A53" s="516" t="s">
        <v>113575</v>
      </c>
      <c r="B53" s="516" t="s">
        <v>113576</v>
      </c>
      <c r="C53" s="518">
        <v>117</v>
      </c>
      <c r="D53" s="516" t="s">
        <v>113577</v>
      </c>
      <c r="E53" s="525">
        <v>32300000</v>
      </c>
      <c r="F53" s="516"/>
      <c r="G53" s="516" t="s">
        <v>113267</v>
      </c>
      <c r="H53" s="516">
        <v>1032411643</v>
      </c>
      <c r="I53" s="541">
        <v>45477</v>
      </c>
      <c r="K53" s="527">
        <v>45646</v>
      </c>
      <c r="L53" s="518">
        <f t="shared" si="0"/>
        <v>169</v>
      </c>
      <c r="M53" s="529">
        <v>32300000</v>
      </c>
    </row>
    <row r="54" spans="1:13" x14ac:dyDescent="0.25">
      <c r="A54" s="516" t="s">
        <v>113575</v>
      </c>
      <c r="B54" s="555" t="s">
        <v>113662</v>
      </c>
      <c r="C54" s="518">
        <v>118</v>
      </c>
      <c r="D54" s="516" t="s">
        <v>113577</v>
      </c>
      <c r="E54" s="525">
        <v>32300000</v>
      </c>
      <c r="F54" s="516"/>
      <c r="G54" s="516" t="s">
        <v>113663</v>
      </c>
      <c r="H54" s="556" t="s">
        <v>113664</v>
      </c>
      <c r="I54" s="541">
        <v>45482</v>
      </c>
      <c r="K54" s="527">
        <v>45646</v>
      </c>
      <c r="L54" s="518">
        <f t="shared" si="0"/>
        <v>164</v>
      </c>
      <c r="M54" s="529">
        <v>32300000</v>
      </c>
    </row>
    <row r="55" spans="1:13" x14ac:dyDescent="0.25">
      <c r="A55" s="516" t="s">
        <v>113575</v>
      </c>
      <c r="B55" s="516" t="s">
        <v>113581</v>
      </c>
      <c r="C55" s="518">
        <v>119</v>
      </c>
      <c r="D55" s="516" t="s">
        <v>113577</v>
      </c>
      <c r="E55" s="525">
        <v>23233333.329999998</v>
      </c>
      <c r="F55" s="516"/>
      <c r="G55" s="516" t="s">
        <v>113665</v>
      </c>
      <c r="H55" s="516">
        <v>1015475295</v>
      </c>
      <c r="I55" s="541">
        <v>45476</v>
      </c>
      <c r="K55" s="527">
        <v>45646</v>
      </c>
      <c r="L55" s="518">
        <f t="shared" si="0"/>
        <v>170</v>
      </c>
      <c r="M55" s="529">
        <v>23233333.329999998</v>
      </c>
    </row>
    <row r="56" spans="1:13" x14ac:dyDescent="0.25">
      <c r="A56" s="516" t="s">
        <v>113583</v>
      </c>
      <c r="B56" s="516" t="s">
        <v>113630</v>
      </c>
      <c r="C56" s="518">
        <v>120</v>
      </c>
      <c r="D56" s="516" t="s">
        <v>113577</v>
      </c>
      <c r="E56" s="525">
        <v>28500000</v>
      </c>
      <c r="F56" s="516"/>
      <c r="G56" s="516" t="s">
        <v>113499</v>
      </c>
      <c r="H56" s="516">
        <v>36066378</v>
      </c>
      <c r="I56" s="531">
        <v>45476</v>
      </c>
      <c r="K56" s="527">
        <v>45628</v>
      </c>
      <c r="L56" s="518">
        <f t="shared" si="0"/>
        <v>152</v>
      </c>
      <c r="M56" s="529">
        <v>28500000</v>
      </c>
    </row>
    <row r="57" spans="1:13" x14ac:dyDescent="0.25">
      <c r="A57" s="516" t="s">
        <v>113583</v>
      </c>
      <c r="B57" s="516" t="s">
        <v>113584</v>
      </c>
      <c r="C57" s="518">
        <v>121</v>
      </c>
      <c r="D57" s="516" t="s">
        <v>113577</v>
      </c>
      <c r="E57" s="525">
        <v>32300000</v>
      </c>
      <c r="F57" s="516"/>
      <c r="G57" s="516" t="s">
        <v>113253</v>
      </c>
      <c r="H57" s="516">
        <v>79884031</v>
      </c>
      <c r="I57" s="531">
        <v>45476</v>
      </c>
      <c r="K57" s="527">
        <v>45646</v>
      </c>
      <c r="L57" s="518">
        <f t="shared" si="0"/>
        <v>170</v>
      </c>
      <c r="M57" s="529">
        <v>32300000</v>
      </c>
    </row>
    <row r="58" spans="1:13" x14ac:dyDescent="0.25">
      <c r="A58" s="516" t="s">
        <v>113666</v>
      </c>
      <c r="B58" s="557" t="s">
        <v>113667</v>
      </c>
      <c r="C58" s="518">
        <v>134</v>
      </c>
      <c r="D58" s="516" t="s">
        <v>113577</v>
      </c>
      <c r="E58" s="525">
        <v>18133333.329999998</v>
      </c>
      <c r="F58" s="516"/>
      <c r="G58" s="516" t="s">
        <v>113395</v>
      </c>
      <c r="H58" s="516">
        <v>52822450</v>
      </c>
      <c r="I58" s="531">
        <v>45483</v>
      </c>
      <c r="K58" s="527">
        <v>45646</v>
      </c>
      <c r="L58" s="518">
        <f t="shared" si="0"/>
        <v>163</v>
      </c>
      <c r="M58" s="529">
        <v>18133333.329999998</v>
      </c>
    </row>
    <row r="59" spans="1:13" x14ac:dyDescent="0.25">
      <c r="A59" s="516" t="s">
        <v>113587</v>
      </c>
      <c r="B59" s="557" t="s">
        <v>113590</v>
      </c>
      <c r="C59" s="518">
        <v>125</v>
      </c>
      <c r="D59" s="516" t="s">
        <v>113577</v>
      </c>
      <c r="E59" s="525">
        <v>33630000</v>
      </c>
      <c r="F59" s="516"/>
      <c r="G59" s="516" t="s">
        <v>113668</v>
      </c>
      <c r="H59" s="516">
        <v>79821918</v>
      </c>
      <c r="I59" s="531">
        <v>45482</v>
      </c>
      <c r="K59" s="527">
        <v>45653</v>
      </c>
      <c r="L59" s="518">
        <f t="shared" si="0"/>
        <v>171</v>
      </c>
      <c r="M59" s="529">
        <v>33630000</v>
      </c>
    </row>
    <row r="60" spans="1:13" x14ac:dyDescent="0.25">
      <c r="A60" s="516" t="s">
        <v>113587</v>
      </c>
      <c r="B60" s="557" t="s">
        <v>113588</v>
      </c>
      <c r="C60" s="518">
        <v>126</v>
      </c>
      <c r="D60" s="516" t="s">
        <v>113577</v>
      </c>
      <c r="E60" s="525">
        <v>47200000</v>
      </c>
      <c r="F60" s="516"/>
      <c r="G60" s="516" t="s">
        <v>113669</v>
      </c>
      <c r="H60" s="516">
        <v>80250985</v>
      </c>
      <c r="I60" s="531">
        <v>45482</v>
      </c>
      <c r="K60" s="527">
        <v>45653</v>
      </c>
      <c r="L60" s="518">
        <f t="shared" si="0"/>
        <v>171</v>
      </c>
      <c r="M60" s="529">
        <v>47200000</v>
      </c>
    </row>
    <row r="61" spans="1:13" x14ac:dyDescent="0.25">
      <c r="A61" s="516" t="s">
        <v>113082</v>
      </c>
      <c r="B61" s="557" t="s">
        <v>113592</v>
      </c>
      <c r="C61" s="518">
        <v>135</v>
      </c>
      <c r="D61" s="516" t="s">
        <v>113577</v>
      </c>
      <c r="E61" s="525">
        <v>32300000</v>
      </c>
      <c r="F61" s="516"/>
      <c r="G61" s="516" t="s">
        <v>113368</v>
      </c>
      <c r="H61" s="516">
        <v>1022377452</v>
      </c>
      <c r="I61" s="531">
        <v>45484</v>
      </c>
      <c r="K61" s="527">
        <v>45646</v>
      </c>
      <c r="L61" s="518">
        <f t="shared" si="0"/>
        <v>162</v>
      </c>
      <c r="M61" s="529">
        <v>32300000</v>
      </c>
    </row>
    <row r="62" spans="1:13" x14ac:dyDescent="0.25">
      <c r="A62" s="516" t="s">
        <v>113670</v>
      </c>
      <c r="B62" s="557" t="s">
        <v>113671</v>
      </c>
      <c r="C62" s="518">
        <v>138</v>
      </c>
      <c r="D62" s="516" t="s">
        <v>113577</v>
      </c>
      <c r="E62" s="525">
        <v>28500000</v>
      </c>
      <c r="F62" s="516"/>
      <c r="G62" s="516" t="s">
        <v>113497</v>
      </c>
      <c r="H62" s="516">
        <v>1020831169</v>
      </c>
      <c r="I62" s="531">
        <v>45493</v>
      </c>
      <c r="K62" s="527">
        <v>45646</v>
      </c>
      <c r="L62" s="518">
        <f t="shared" si="0"/>
        <v>153</v>
      </c>
      <c r="M62" s="529">
        <v>28500000</v>
      </c>
    </row>
    <row r="63" spans="1:13" x14ac:dyDescent="0.25">
      <c r="A63" s="516" t="s">
        <v>113587</v>
      </c>
      <c r="B63" s="516" t="s">
        <v>113672</v>
      </c>
      <c r="C63" s="518">
        <v>149</v>
      </c>
      <c r="D63" s="516" t="s">
        <v>113577</v>
      </c>
      <c r="E63" s="525">
        <v>37500000</v>
      </c>
      <c r="F63" s="516"/>
      <c r="G63" s="516" t="s">
        <v>113673</v>
      </c>
      <c r="H63" s="516">
        <v>1014239514</v>
      </c>
      <c r="I63" s="531">
        <v>45503</v>
      </c>
      <c r="K63" s="527">
        <v>45653</v>
      </c>
      <c r="L63" s="518">
        <f t="shared" si="0"/>
        <v>150</v>
      </c>
      <c r="M63" s="529">
        <v>37500000</v>
      </c>
    </row>
    <row r="64" spans="1:13" x14ac:dyDescent="0.25">
      <c r="A64" s="516" t="s">
        <v>113587</v>
      </c>
      <c r="B64" s="516" t="s">
        <v>113674</v>
      </c>
      <c r="C64" s="518">
        <v>150</v>
      </c>
      <c r="D64" s="516" t="s">
        <v>113577</v>
      </c>
      <c r="E64" s="525">
        <v>40000000</v>
      </c>
      <c r="F64" s="516"/>
      <c r="G64" s="516" t="s">
        <v>113357</v>
      </c>
      <c r="H64" s="516">
        <v>11256447</v>
      </c>
      <c r="I64" s="531">
        <v>45505</v>
      </c>
      <c r="K64" s="527">
        <v>45657</v>
      </c>
      <c r="L64" s="518">
        <f t="shared" si="0"/>
        <v>152</v>
      </c>
      <c r="M64" s="529">
        <v>40000000</v>
      </c>
    </row>
    <row r="65" spans="1:13" x14ac:dyDescent="0.25">
      <c r="A65" s="516" t="s">
        <v>113601</v>
      </c>
      <c r="B65" s="516" t="s">
        <v>113675</v>
      </c>
      <c r="C65" s="518">
        <v>151</v>
      </c>
      <c r="D65" s="516" t="s">
        <v>113577</v>
      </c>
      <c r="E65" s="525">
        <v>16400000</v>
      </c>
      <c r="F65" s="516"/>
      <c r="G65" s="516" t="s">
        <v>113612</v>
      </c>
      <c r="H65" s="516">
        <v>1049627849</v>
      </c>
      <c r="I65" s="531">
        <v>45505</v>
      </c>
      <c r="K65" s="527">
        <v>45625</v>
      </c>
      <c r="L65" s="518">
        <f t="shared" si="0"/>
        <v>120</v>
      </c>
      <c r="M65" s="529">
        <v>16400000</v>
      </c>
    </row>
    <row r="66" spans="1:13" x14ac:dyDescent="0.25">
      <c r="A66" s="516" t="s">
        <v>113587</v>
      </c>
      <c r="B66" s="516" t="s">
        <v>113676</v>
      </c>
      <c r="C66" s="518">
        <v>155</v>
      </c>
      <c r="D66" s="516" t="s">
        <v>113577</v>
      </c>
      <c r="E66" s="525">
        <v>20090000</v>
      </c>
      <c r="F66" s="516"/>
      <c r="G66" s="516" t="s">
        <v>113677</v>
      </c>
      <c r="H66" s="516">
        <v>93437613</v>
      </c>
      <c r="I66" s="542">
        <v>45517</v>
      </c>
      <c r="K66" s="527">
        <v>45653</v>
      </c>
      <c r="L66" s="518">
        <f t="shared" si="0"/>
        <v>136</v>
      </c>
      <c r="M66" s="529">
        <v>20090000</v>
      </c>
    </row>
    <row r="67" spans="1:13" x14ac:dyDescent="0.25">
      <c r="A67" s="516" t="s">
        <v>113633</v>
      </c>
      <c r="B67" s="516" t="s">
        <v>113636</v>
      </c>
      <c r="C67" s="518">
        <v>156</v>
      </c>
      <c r="D67" s="516" t="s">
        <v>113577</v>
      </c>
      <c r="E67" s="525">
        <v>14933333</v>
      </c>
      <c r="F67" s="516"/>
      <c r="G67" s="516" t="s">
        <v>113637</v>
      </c>
      <c r="H67" s="516">
        <v>1020751167</v>
      </c>
      <c r="I67" s="542">
        <v>45516</v>
      </c>
      <c r="K67" s="527">
        <v>45646</v>
      </c>
      <c r="L67" s="518">
        <f t="shared" ref="L67:L86" si="2">+K67-I67</f>
        <v>130</v>
      </c>
      <c r="M67" s="529">
        <v>14933333</v>
      </c>
    </row>
    <row r="68" spans="1:13" x14ac:dyDescent="0.25">
      <c r="A68" s="516" t="s">
        <v>113633</v>
      </c>
      <c r="B68" s="516" t="s">
        <v>113634</v>
      </c>
      <c r="C68" s="518">
        <v>157</v>
      </c>
      <c r="D68" s="516" t="s">
        <v>113577</v>
      </c>
      <c r="E68" s="525">
        <v>14933333</v>
      </c>
      <c r="F68" s="516"/>
      <c r="G68" s="516" t="s">
        <v>113678</v>
      </c>
      <c r="H68" s="516">
        <v>1030644746</v>
      </c>
      <c r="I68" s="542">
        <v>45516</v>
      </c>
      <c r="K68" s="527">
        <v>45646</v>
      </c>
      <c r="L68" s="518">
        <f t="shared" si="2"/>
        <v>130</v>
      </c>
      <c r="M68" s="529">
        <v>14933333</v>
      </c>
    </row>
    <row r="69" spans="1:13" x14ac:dyDescent="0.25">
      <c r="A69" s="516" t="s">
        <v>113601</v>
      </c>
      <c r="B69" s="516" t="s">
        <v>113618</v>
      </c>
      <c r="C69" s="518">
        <v>158</v>
      </c>
      <c r="D69" s="516" t="s">
        <v>113577</v>
      </c>
      <c r="E69" s="554">
        <v>12800000</v>
      </c>
      <c r="F69" s="516"/>
      <c r="G69" s="516" t="s">
        <v>113679</v>
      </c>
      <c r="H69" s="516">
        <v>1007413934</v>
      </c>
      <c r="I69" s="542">
        <v>45517</v>
      </c>
      <c r="K69" s="527">
        <v>45639</v>
      </c>
      <c r="L69" s="518">
        <f t="shared" si="2"/>
        <v>122</v>
      </c>
      <c r="M69" s="529">
        <v>12800000</v>
      </c>
    </row>
    <row r="70" spans="1:13" x14ac:dyDescent="0.25">
      <c r="A70" s="516" t="s">
        <v>113601</v>
      </c>
      <c r="B70" s="516" t="s">
        <v>113639</v>
      </c>
      <c r="C70" s="518">
        <v>159</v>
      </c>
      <c r="D70" s="516" t="s">
        <v>113577</v>
      </c>
      <c r="E70" s="525">
        <v>4100000</v>
      </c>
      <c r="F70" s="516"/>
      <c r="G70" s="516" t="s">
        <v>113680</v>
      </c>
      <c r="H70" s="516">
        <v>1026276538</v>
      </c>
      <c r="I70" s="531">
        <v>45533</v>
      </c>
      <c r="K70" s="527">
        <v>45564</v>
      </c>
      <c r="L70" s="518">
        <f t="shared" si="2"/>
        <v>31</v>
      </c>
      <c r="M70" s="529">
        <v>4100000</v>
      </c>
    </row>
    <row r="71" spans="1:13" x14ac:dyDescent="0.25">
      <c r="A71" s="516" t="s">
        <v>113601</v>
      </c>
      <c r="B71" s="516" t="s">
        <v>113628</v>
      </c>
      <c r="C71" s="518">
        <v>161</v>
      </c>
      <c r="D71" s="516" t="s">
        <v>113577</v>
      </c>
      <c r="E71" s="525">
        <v>17100000</v>
      </c>
      <c r="F71" s="516"/>
      <c r="G71" s="516" t="s">
        <v>113629</v>
      </c>
      <c r="H71" s="516">
        <v>32184648</v>
      </c>
      <c r="I71" s="531">
        <v>45534</v>
      </c>
      <c r="K71" s="527">
        <v>45626</v>
      </c>
      <c r="L71" s="518">
        <f t="shared" si="2"/>
        <v>92</v>
      </c>
      <c r="M71" s="529">
        <v>17100000</v>
      </c>
    </row>
    <row r="72" spans="1:13" x14ac:dyDescent="0.25">
      <c r="A72" s="516" t="s">
        <v>113587</v>
      </c>
      <c r="B72" s="516" t="s">
        <v>113681</v>
      </c>
      <c r="C72" s="518">
        <v>162</v>
      </c>
      <c r="D72" s="516" t="s">
        <v>113577</v>
      </c>
      <c r="E72" s="525">
        <v>31200000</v>
      </c>
      <c r="F72" s="516"/>
      <c r="G72" s="516" t="s">
        <v>113357</v>
      </c>
      <c r="H72" s="516">
        <v>84455898</v>
      </c>
      <c r="I72" s="531">
        <v>45541</v>
      </c>
      <c r="K72" s="527">
        <v>45653</v>
      </c>
      <c r="L72" s="518">
        <f t="shared" si="2"/>
        <v>112</v>
      </c>
      <c r="M72" s="529">
        <v>31200000</v>
      </c>
    </row>
    <row r="73" spans="1:13" x14ac:dyDescent="0.25">
      <c r="A73" s="516" t="s">
        <v>113622</v>
      </c>
      <c r="B73" s="516" t="s">
        <v>113624</v>
      </c>
      <c r="C73" s="518">
        <v>164</v>
      </c>
      <c r="D73" s="516" t="s">
        <v>113577</v>
      </c>
      <c r="E73" s="525">
        <v>6233334</v>
      </c>
      <c r="F73" s="516"/>
      <c r="G73" s="516" t="s">
        <v>113272</v>
      </c>
      <c r="H73" s="516">
        <v>80859869</v>
      </c>
      <c r="I73" s="531">
        <v>45548</v>
      </c>
      <c r="K73" s="527">
        <v>45646</v>
      </c>
      <c r="L73" s="518">
        <f t="shared" si="2"/>
        <v>98</v>
      </c>
      <c r="M73" s="529">
        <v>6233334</v>
      </c>
    </row>
    <row r="74" spans="1:13" x14ac:dyDescent="0.25">
      <c r="A74" s="516" t="s">
        <v>113622</v>
      </c>
      <c r="B74" s="516" t="s">
        <v>113626</v>
      </c>
      <c r="C74" s="518">
        <v>165</v>
      </c>
      <c r="D74" s="516" t="s">
        <v>113577</v>
      </c>
      <c r="E74" s="525">
        <v>6233334</v>
      </c>
      <c r="F74" s="516"/>
      <c r="G74" s="516" t="s">
        <v>113272</v>
      </c>
      <c r="H74" s="516">
        <v>1077966528</v>
      </c>
      <c r="I74" s="531">
        <v>45548</v>
      </c>
      <c r="K74" s="527">
        <v>45646</v>
      </c>
      <c r="L74" s="518">
        <f t="shared" si="2"/>
        <v>98</v>
      </c>
      <c r="M74" s="529">
        <v>6233334</v>
      </c>
    </row>
    <row r="75" spans="1:13" x14ac:dyDescent="0.25">
      <c r="A75" s="516" t="s">
        <v>113601</v>
      </c>
      <c r="B75" s="516" t="s">
        <v>113604</v>
      </c>
      <c r="C75" s="518">
        <v>166</v>
      </c>
      <c r="D75" s="516" t="s">
        <v>113577</v>
      </c>
      <c r="E75" s="525">
        <v>12300000</v>
      </c>
      <c r="F75" s="516"/>
      <c r="G75" s="516" t="s">
        <v>113603</v>
      </c>
      <c r="H75" s="516">
        <v>1070618352</v>
      </c>
      <c r="I75" s="531">
        <v>45548</v>
      </c>
      <c r="K75" s="527">
        <v>45638</v>
      </c>
      <c r="L75" s="518">
        <f t="shared" si="2"/>
        <v>90</v>
      </c>
      <c r="M75" s="529">
        <v>12300000</v>
      </c>
    </row>
    <row r="76" spans="1:13" x14ac:dyDescent="0.25">
      <c r="A76" s="516" t="s">
        <v>113601</v>
      </c>
      <c r="B76" s="516" t="s">
        <v>113615</v>
      </c>
      <c r="C76" s="518">
        <v>167</v>
      </c>
      <c r="D76" s="516" t="s">
        <v>113577</v>
      </c>
      <c r="E76" s="525">
        <v>12300000</v>
      </c>
      <c r="F76" s="516"/>
      <c r="G76" s="516" t="s">
        <v>113614</v>
      </c>
      <c r="H76" s="516">
        <v>1018437320</v>
      </c>
      <c r="I76" s="531">
        <v>45552</v>
      </c>
      <c r="K76" s="527">
        <v>45642</v>
      </c>
      <c r="L76" s="518">
        <f t="shared" si="2"/>
        <v>90</v>
      </c>
      <c r="M76" s="529">
        <v>12300000</v>
      </c>
    </row>
    <row r="77" spans="1:13" x14ac:dyDescent="0.25">
      <c r="A77" s="516" t="s">
        <v>113000</v>
      </c>
      <c r="B77" s="516" t="s">
        <v>113682</v>
      </c>
      <c r="C77" s="518">
        <v>190</v>
      </c>
      <c r="D77" s="516" t="s">
        <v>113577</v>
      </c>
      <c r="E77" s="525">
        <v>12300000</v>
      </c>
      <c r="F77" s="516"/>
      <c r="G77" s="516" t="s">
        <v>113396</v>
      </c>
      <c r="H77" s="516">
        <v>1049618571</v>
      </c>
      <c r="I77" s="516"/>
      <c r="K77" s="527">
        <v>45651</v>
      </c>
      <c r="L77" s="518">
        <f t="shared" si="2"/>
        <v>45651</v>
      </c>
      <c r="M77" s="529">
        <v>12300000</v>
      </c>
    </row>
    <row r="78" spans="1:13" x14ac:dyDescent="0.25">
      <c r="A78" s="516" t="s">
        <v>113601</v>
      </c>
      <c r="B78" s="516" t="s">
        <v>113646</v>
      </c>
      <c r="C78" s="518">
        <v>192</v>
      </c>
      <c r="D78" s="516" t="s">
        <v>113577</v>
      </c>
      <c r="E78" s="525">
        <v>10250000</v>
      </c>
      <c r="F78" s="516"/>
      <c r="G78" s="516" t="s">
        <v>113603</v>
      </c>
      <c r="H78" s="516">
        <v>1110262775</v>
      </c>
      <c r="I78" s="531">
        <v>45569</v>
      </c>
      <c r="K78" s="527">
        <v>45645</v>
      </c>
      <c r="L78" s="518">
        <f t="shared" si="2"/>
        <v>76</v>
      </c>
      <c r="M78" s="529">
        <v>10250000</v>
      </c>
    </row>
    <row r="79" spans="1:13" x14ac:dyDescent="0.25">
      <c r="A79" s="516" t="s">
        <v>113657</v>
      </c>
      <c r="B79" s="516" t="s">
        <v>113683</v>
      </c>
      <c r="C79" s="518">
        <v>195</v>
      </c>
      <c r="D79" s="516" t="s">
        <v>113577</v>
      </c>
      <c r="E79" s="525">
        <v>9000000</v>
      </c>
      <c r="F79" s="516"/>
      <c r="G79" s="516" t="s">
        <v>113373</v>
      </c>
      <c r="H79" s="516">
        <v>1018419323</v>
      </c>
      <c r="I79" s="531">
        <v>45587</v>
      </c>
      <c r="K79" s="527">
        <v>45641</v>
      </c>
      <c r="L79" s="518">
        <f t="shared" si="2"/>
        <v>54</v>
      </c>
      <c r="M79" s="529">
        <v>9000000</v>
      </c>
    </row>
    <row r="80" spans="1:13" x14ac:dyDescent="0.25">
      <c r="A80" s="516" t="s">
        <v>113633</v>
      </c>
      <c r="B80" s="516" t="s">
        <v>113684</v>
      </c>
      <c r="C80" s="518">
        <v>198</v>
      </c>
      <c r="D80" s="516" t="s">
        <v>113577</v>
      </c>
      <c r="E80" s="525">
        <v>11400000</v>
      </c>
      <c r="F80" s="516"/>
      <c r="G80" s="516" t="s">
        <v>113370</v>
      </c>
      <c r="H80" s="516">
        <v>1020746569</v>
      </c>
      <c r="I80" s="516"/>
      <c r="K80" s="527">
        <v>45643</v>
      </c>
      <c r="L80" s="518">
        <f t="shared" si="2"/>
        <v>45643</v>
      </c>
      <c r="M80" s="529">
        <v>11400000</v>
      </c>
    </row>
    <row r="81" spans="1:13" x14ac:dyDescent="0.25">
      <c r="A81" s="516" t="s">
        <v>113601</v>
      </c>
      <c r="B81" s="516" t="s">
        <v>113685</v>
      </c>
      <c r="C81" s="518">
        <v>199</v>
      </c>
      <c r="D81" s="516" t="s">
        <v>113577</v>
      </c>
      <c r="E81" s="525">
        <v>8200000</v>
      </c>
      <c r="F81" s="516"/>
      <c r="G81" s="516" t="s">
        <v>113608</v>
      </c>
      <c r="H81" s="516">
        <v>1019071977</v>
      </c>
      <c r="I81" s="531">
        <v>45587</v>
      </c>
      <c r="K81" s="527">
        <v>45643</v>
      </c>
      <c r="L81" s="518">
        <f t="shared" si="2"/>
        <v>56</v>
      </c>
      <c r="M81" s="529">
        <v>8200000</v>
      </c>
    </row>
    <row r="82" spans="1:13" x14ac:dyDescent="0.25">
      <c r="A82" s="516" t="s">
        <v>113601</v>
      </c>
      <c r="B82" s="516" t="s">
        <v>113616</v>
      </c>
      <c r="C82" s="518">
        <v>200</v>
      </c>
      <c r="D82" s="516" t="s">
        <v>113577</v>
      </c>
      <c r="E82" s="525">
        <v>8200000</v>
      </c>
      <c r="F82" s="516"/>
      <c r="G82" s="516" t="s">
        <v>113608</v>
      </c>
      <c r="H82" s="516">
        <v>1110568494</v>
      </c>
      <c r="I82" s="531">
        <v>45587</v>
      </c>
      <c r="K82" s="527">
        <v>45643</v>
      </c>
      <c r="L82" s="518">
        <f t="shared" si="2"/>
        <v>56</v>
      </c>
      <c r="M82" s="529">
        <v>8200000</v>
      </c>
    </row>
    <row r="83" spans="1:13" x14ac:dyDescent="0.25">
      <c r="A83" s="516" t="s">
        <v>113601</v>
      </c>
      <c r="B83" s="516" t="s">
        <v>113686</v>
      </c>
      <c r="C83" s="518">
        <v>201</v>
      </c>
      <c r="D83" s="516" t="s">
        <v>113577</v>
      </c>
      <c r="E83" s="525">
        <v>6400000</v>
      </c>
      <c r="F83" s="516"/>
      <c r="G83" s="516" t="s">
        <v>113687</v>
      </c>
      <c r="H83" s="516">
        <v>52457222</v>
      </c>
      <c r="I83" s="516"/>
      <c r="K83" s="527">
        <v>45643</v>
      </c>
      <c r="L83" s="518">
        <f t="shared" si="2"/>
        <v>45643</v>
      </c>
      <c r="M83" s="529">
        <v>6400000</v>
      </c>
    </row>
    <row r="84" spans="1:13" x14ac:dyDescent="0.25">
      <c r="A84" s="516" t="s">
        <v>113601</v>
      </c>
      <c r="B84" s="516" t="s">
        <v>113649</v>
      </c>
      <c r="C84" s="518">
        <v>203</v>
      </c>
      <c r="D84" s="516" t="s">
        <v>113577</v>
      </c>
      <c r="E84" s="525">
        <v>8200000</v>
      </c>
      <c r="F84" s="516"/>
      <c r="G84" s="516" t="s">
        <v>113688</v>
      </c>
      <c r="H84" s="516">
        <v>1098638570</v>
      </c>
      <c r="I84" s="531">
        <v>45587</v>
      </c>
      <c r="K84" s="527">
        <v>45644</v>
      </c>
      <c r="L84" s="518">
        <f t="shared" si="2"/>
        <v>57</v>
      </c>
      <c r="M84" s="529">
        <v>8200000</v>
      </c>
    </row>
    <row r="85" spans="1:13" x14ac:dyDescent="0.25">
      <c r="A85" s="516" t="s">
        <v>113587</v>
      </c>
      <c r="B85" s="516" t="s">
        <v>113689</v>
      </c>
      <c r="C85" s="518">
        <v>204</v>
      </c>
      <c r="D85" s="516" t="s">
        <v>113577</v>
      </c>
      <c r="E85" s="525">
        <v>12000000</v>
      </c>
      <c r="F85" s="516"/>
      <c r="G85" s="516" t="s">
        <v>113690</v>
      </c>
      <c r="H85" s="516">
        <v>1098695730</v>
      </c>
      <c r="I85" s="516"/>
      <c r="K85" s="527">
        <v>45644</v>
      </c>
      <c r="L85" s="518">
        <f t="shared" si="2"/>
        <v>45644</v>
      </c>
      <c r="M85" s="529">
        <v>12000000</v>
      </c>
    </row>
    <row r="86" spans="1:13" x14ac:dyDescent="0.25">
      <c r="A86" s="516" t="s">
        <v>113587</v>
      </c>
      <c r="B86" s="516" t="s">
        <v>113691</v>
      </c>
      <c r="C86" s="518">
        <v>206</v>
      </c>
      <c r="D86" s="516" t="s">
        <v>113577</v>
      </c>
      <c r="E86" s="525">
        <v>15000000</v>
      </c>
      <c r="F86" s="516"/>
      <c r="G86" s="516" t="s">
        <v>113692</v>
      </c>
      <c r="H86" s="516">
        <v>7630598</v>
      </c>
      <c r="I86" s="516"/>
      <c r="K86" s="527">
        <v>45649</v>
      </c>
      <c r="L86" s="518">
        <f t="shared" si="2"/>
        <v>45649</v>
      </c>
      <c r="M86" s="529">
        <v>15000000</v>
      </c>
    </row>
    <row r="87" spans="1:13" x14ac:dyDescent="0.25">
      <c r="B87" s="516"/>
      <c r="C87" s="516"/>
      <c r="E87" s="516"/>
      <c r="F87" s="516"/>
      <c r="I87" s="516"/>
      <c r="K87" s="516"/>
      <c r="L87" s="516"/>
    </row>
    <row r="88" spans="1:13" x14ac:dyDescent="0.25">
      <c r="B88" s="516"/>
      <c r="C88" s="516"/>
      <c r="E88" s="516"/>
      <c r="F88" s="516"/>
      <c r="I88" s="516"/>
      <c r="K88" s="516"/>
      <c r="L88" s="516"/>
    </row>
    <row r="89" spans="1:13" x14ac:dyDescent="0.25">
      <c r="B89" s="516"/>
      <c r="C89" s="516"/>
      <c r="E89" s="516"/>
      <c r="F89" s="516"/>
      <c r="I89" s="516"/>
      <c r="K89" s="516"/>
      <c r="L89" s="516"/>
    </row>
    <row r="92" spans="1:13" x14ac:dyDescent="0.25">
      <c r="J92" s="525"/>
    </row>
    <row r="93" spans="1:13" x14ac:dyDescent="0.25">
      <c r="J93" s="525"/>
    </row>
    <row r="94" spans="1:13" x14ac:dyDescent="0.25">
      <c r="J94" s="558"/>
    </row>
  </sheetData>
  <pageMargins left="0.70866141732283472" right="0.70866141732283472" top="0.74803149606299213" bottom="0.74803149606299213" header="0.31496062992125984" footer="0.31496062992125984"/>
  <pageSetup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B1:Z400"/>
  <sheetViews>
    <sheetView showGridLines="0" topLeftCell="O6" zoomScale="80" zoomScaleNormal="80" workbookViewId="0">
      <pane ySplit="2" topLeftCell="A318" activePane="bottomLeft" state="frozen"/>
      <selection activeCell="B6" sqref="B6"/>
      <selection pane="bottomLeft" activeCell="S331" sqref="S331"/>
    </sheetView>
  </sheetViews>
  <sheetFormatPr baseColWidth="10" defaultColWidth="11.5703125" defaultRowHeight="15" x14ac:dyDescent="0.2"/>
  <cols>
    <col min="1" max="1" width="4.28515625" style="22" customWidth="1"/>
    <col min="2" max="2" width="13.140625" style="20" customWidth="1"/>
    <col min="3" max="3" width="12.5703125" style="20" customWidth="1"/>
    <col min="4" max="4" width="13.140625" style="20" customWidth="1"/>
    <col min="5" max="5" width="11" style="20" customWidth="1"/>
    <col min="6" max="6" width="11.7109375" style="20" customWidth="1"/>
    <col min="7" max="7" width="12.42578125" style="20" customWidth="1"/>
    <col min="8" max="8" width="9" style="20" customWidth="1"/>
    <col min="9" max="9" width="10.7109375" style="20" customWidth="1"/>
    <col min="10" max="10" width="9.7109375" style="20" customWidth="1"/>
    <col min="11" max="11" width="24.85546875" style="20" customWidth="1"/>
    <col min="12" max="12" width="16" style="20" customWidth="1"/>
    <col min="13" max="13" width="84.140625" style="24" bestFit="1" customWidth="1"/>
    <col min="14" max="14" width="16.85546875" style="301" customWidth="1"/>
    <col min="15" max="15" width="15.85546875" style="16" customWidth="1"/>
    <col min="16" max="16" width="17.28515625" style="17" customWidth="1"/>
    <col min="17" max="17" width="28.5703125" style="18" bestFit="1" customWidth="1"/>
    <col min="18" max="18" width="31.85546875" style="464" customWidth="1"/>
    <col min="19" max="19" width="25" style="461" customWidth="1"/>
    <col min="20" max="20" width="29" style="464" customWidth="1"/>
    <col min="21" max="21" width="25.7109375" style="464" customWidth="1"/>
    <col min="22" max="22" width="26.5703125" style="19" customWidth="1"/>
    <col min="23" max="23" width="22.28515625" style="20" hidden="1" customWidth="1"/>
    <col min="24" max="24" width="20.5703125" style="14" bestFit="1" customWidth="1"/>
    <col min="25" max="25" width="29.42578125" style="20" customWidth="1"/>
    <col min="26" max="26" width="20.140625" style="22" hidden="1" customWidth="1"/>
    <col min="27" max="16384" width="11.5703125" style="22"/>
  </cols>
  <sheetData>
    <row r="1" spans="2:26" hidden="1" x14ac:dyDescent="0.2">
      <c r="B1" s="14"/>
      <c r="C1" s="14"/>
      <c r="D1" s="14"/>
      <c r="E1" s="14"/>
      <c r="F1" s="14"/>
      <c r="G1" s="14"/>
      <c r="H1" s="14"/>
      <c r="I1" s="14"/>
      <c r="J1" s="14"/>
      <c r="K1" s="14"/>
      <c r="L1" s="460"/>
      <c r="M1" s="14"/>
      <c r="N1" s="15"/>
    </row>
    <row r="2" spans="2:26" ht="15.75" hidden="1" x14ac:dyDescent="0.25">
      <c r="B2" s="23" t="s">
        <v>113414</v>
      </c>
      <c r="C2" s="14"/>
      <c r="D2" s="14"/>
      <c r="E2" s="14"/>
      <c r="F2" s="14"/>
      <c r="G2" s="14"/>
      <c r="H2" s="14"/>
      <c r="I2" s="14"/>
      <c r="J2" s="14"/>
      <c r="K2" s="14"/>
      <c r="L2" s="460"/>
      <c r="M2" s="14"/>
      <c r="N2" s="15"/>
    </row>
    <row r="3" spans="2:26" ht="15.75" hidden="1" x14ac:dyDescent="0.25">
      <c r="B3" s="23"/>
      <c r="C3" s="14"/>
      <c r="D3" s="14"/>
      <c r="E3" s="14"/>
      <c r="F3" s="14"/>
      <c r="G3" s="14"/>
      <c r="H3" s="14"/>
      <c r="I3" s="14"/>
      <c r="J3" s="14"/>
      <c r="K3" s="14"/>
      <c r="L3" s="460"/>
      <c r="M3" s="14"/>
      <c r="N3" s="15"/>
    </row>
    <row r="4" spans="2:26" ht="15.75" hidden="1" x14ac:dyDescent="0.25">
      <c r="B4" s="23" t="s">
        <v>112984</v>
      </c>
      <c r="C4" s="14"/>
      <c r="D4" s="14"/>
      <c r="E4" s="14"/>
      <c r="F4" s="14"/>
      <c r="G4" s="14"/>
      <c r="H4" s="14"/>
      <c r="I4" s="14"/>
      <c r="J4" s="14"/>
      <c r="K4" s="14"/>
      <c r="L4" s="460"/>
      <c r="N4" s="15"/>
    </row>
    <row r="5" spans="2:26" ht="18" hidden="1" x14ac:dyDescent="0.2">
      <c r="B5" s="14"/>
      <c r="C5" s="14"/>
      <c r="D5" s="14"/>
      <c r="E5" s="14"/>
      <c r="F5" s="14"/>
      <c r="G5" s="14"/>
      <c r="H5" s="14"/>
      <c r="I5" s="14"/>
      <c r="J5" s="14"/>
      <c r="K5" s="14"/>
      <c r="L5" s="460"/>
      <c r="M5" s="14"/>
      <c r="N5" s="15"/>
      <c r="R5" s="464" t="e">
        <f>R220-#REF!</f>
        <v>#REF!</v>
      </c>
      <c r="T5" s="464" t="e">
        <f>T220-#REF!</f>
        <v>#REF!</v>
      </c>
      <c r="Y5" s="394"/>
    </row>
    <row r="6" spans="2:26" ht="60" x14ac:dyDescent="0.2">
      <c r="B6" s="25" t="s">
        <v>105498</v>
      </c>
      <c r="C6" s="25" t="s">
        <v>105499</v>
      </c>
      <c r="D6" s="25" t="s">
        <v>105500</v>
      </c>
      <c r="E6" s="25" t="s">
        <v>105501</v>
      </c>
      <c r="F6" s="25" t="s">
        <v>105502</v>
      </c>
      <c r="G6" s="25" t="s">
        <v>105503</v>
      </c>
      <c r="H6" s="25" t="s">
        <v>105504</v>
      </c>
      <c r="I6" s="25" t="s">
        <v>105505</v>
      </c>
      <c r="J6" s="25" t="s">
        <v>112985</v>
      </c>
      <c r="K6" s="26" t="s">
        <v>112986</v>
      </c>
      <c r="L6" s="27" t="s">
        <v>112987</v>
      </c>
      <c r="M6" s="28" t="s">
        <v>112988</v>
      </c>
      <c r="N6" s="28" t="s">
        <v>112989</v>
      </c>
      <c r="O6" s="29" t="s">
        <v>112990</v>
      </c>
      <c r="P6" s="28" t="s">
        <v>112991</v>
      </c>
      <c r="Q6" s="28" t="s">
        <v>112992</v>
      </c>
      <c r="R6" s="465" t="s">
        <v>113693</v>
      </c>
      <c r="S6" s="30" t="s">
        <v>113784</v>
      </c>
      <c r="T6" s="465" t="s">
        <v>113785</v>
      </c>
      <c r="U6" s="465" t="s">
        <v>113697</v>
      </c>
      <c r="V6" s="30" t="s">
        <v>113415</v>
      </c>
      <c r="W6" s="31" t="s">
        <v>113235</v>
      </c>
      <c r="X6" s="31" t="s">
        <v>113236</v>
      </c>
      <c r="Y6" s="32" t="s">
        <v>112993</v>
      </c>
    </row>
    <row r="7" spans="2:26" ht="15.75" x14ac:dyDescent="0.2">
      <c r="B7" s="33" t="s">
        <v>105516</v>
      </c>
      <c r="C7" s="33" t="s">
        <v>105573</v>
      </c>
      <c r="D7" s="33"/>
      <c r="E7" s="33"/>
      <c r="F7" s="33"/>
      <c r="G7" s="33"/>
      <c r="H7" s="33"/>
      <c r="I7" s="33"/>
      <c r="J7" s="411"/>
      <c r="K7" s="289"/>
      <c r="L7" s="35"/>
      <c r="M7" s="36" t="s">
        <v>112994</v>
      </c>
      <c r="N7" s="37" t="s">
        <v>112995</v>
      </c>
      <c r="O7" s="37" t="s">
        <v>112995</v>
      </c>
      <c r="P7" s="38"/>
      <c r="Q7" s="577">
        <f>V7-T7</f>
        <v>0</v>
      </c>
      <c r="R7" s="39">
        <f>+R8+R26</f>
        <v>8209000000</v>
      </c>
      <c r="S7" s="39">
        <f t="shared" ref="S7:U7" si="0">+S8+S26</f>
        <v>5360189000</v>
      </c>
      <c r="T7" s="39">
        <f t="shared" si="0"/>
        <v>3349000000</v>
      </c>
      <c r="U7" s="39">
        <f t="shared" si="0"/>
        <v>1967000000</v>
      </c>
      <c r="V7" s="39">
        <v>3349000000</v>
      </c>
      <c r="W7" s="40"/>
      <c r="X7" s="41"/>
      <c r="Y7" s="581"/>
      <c r="Z7" s="579">
        <f t="shared" ref="Z7:Z70" si="1">(T7+U7)-S7</f>
        <v>-44189000</v>
      </c>
    </row>
    <row r="8" spans="2:26" s="53" customFormat="1" ht="15.75" x14ac:dyDescent="0.25">
      <c r="B8" s="43" t="s">
        <v>105516</v>
      </c>
      <c r="C8" s="43" t="s">
        <v>105573</v>
      </c>
      <c r="D8" s="43" t="s">
        <v>105520</v>
      </c>
      <c r="E8" s="43"/>
      <c r="F8" s="43"/>
      <c r="G8" s="43"/>
      <c r="H8" s="43"/>
      <c r="I8" s="43"/>
      <c r="J8" s="412"/>
      <c r="K8" s="437"/>
      <c r="L8" s="45"/>
      <c r="M8" s="46" t="s">
        <v>106083</v>
      </c>
      <c r="N8" s="47" t="s">
        <v>112995</v>
      </c>
      <c r="O8" s="47" t="s">
        <v>112995</v>
      </c>
      <c r="P8" s="48"/>
      <c r="Q8" s="48"/>
      <c r="R8" s="49">
        <f>+R9</f>
        <v>379149971.51999998</v>
      </c>
      <c r="S8" s="49">
        <f t="shared" ref="S8:U8" si="2">+S9</f>
        <v>520000000</v>
      </c>
      <c r="T8" s="49">
        <f t="shared" si="2"/>
        <v>340000000</v>
      </c>
      <c r="U8" s="49">
        <f t="shared" si="2"/>
        <v>100000000</v>
      </c>
      <c r="V8" s="49"/>
      <c r="W8" s="50"/>
      <c r="X8" s="51"/>
      <c r="Y8" s="396"/>
      <c r="Z8" s="579">
        <f t="shared" si="1"/>
        <v>-80000000</v>
      </c>
    </row>
    <row r="9" spans="2:26" x14ac:dyDescent="0.2">
      <c r="B9" s="54" t="s">
        <v>105516</v>
      </c>
      <c r="C9" s="54" t="s">
        <v>105573</v>
      </c>
      <c r="D9" s="54" t="s">
        <v>105520</v>
      </c>
      <c r="E9" s="54" t="s">
        <v>105520</v>
      </c>
      <c r="F9" s="54"/>
      <c r="G9" s="54"/>
      <c r="H9" s="54"/>
      <c r="I9" s="54"/>
      <c r="J9" s="413"/>
      <c r="K9" s="54"/>
      <c r="L9" s="55"/>
      <c r="M9" s="56" t="s">
        <v>106085</v>
      </c>
      <c r="N9" s="57" t="s">
        <v>112995</v>
      </c>
      <c r="O9" s="57" t="s">
        <v>112995</v>
      </c>
      <c r="P9" s="58"/>
      <c r="Q9" s="58"/>
      <c r="R9" s="59">
        <f>+R10+R20</f>
        <v>379149971.51999998</v>
      </c>
      <c r="S9" s="59">
        <f t="shared" ref="S9:U9" si="3">+S10+S20</f>
        <v>520000000</v>
      </c>
      <c r="T9" s="59">
        <f t="shared" si="3"/>
        <v>340000000</v>
      </c>
      <c r="U9" s="59">
        <f t="shared" si="3"/>
        <v>100000000</v>
      </c>
      <c r="V9" s="59"/>
      <c r="W9" s="60"/>
      <c r="X9" s="61"/>
      <c r="Y9" s="54"/>
      <c r="Z9" s="579">
        <f t="shared" si="1"/>
        <v>-80000000</v>
      </c>
    </row>
    <row r="10" spans="2:26" x14ac:dyDescent="0.2">
      <c r="B10" s="63" t="s">
        <v>105516</v>
      </c>
      <c r="C10" s="63" t="s">
        <v>105573</v>
      </c>
      <c r="D10" s="63" t="s">
        <v>105520</v>
      </c>
      <c r="E10" s="63" t="s">
        <v>105520</v>
      </c>
      <c r="F10" s="63" t="s">
        <v>105541</v>
      </c>
      <c r="G10" s="63"/>
      <c r="H10" s="63"/>
      <c r="I10" s="63"/>
      <c r="J10" s="414"/>
      <c r="K10" s="254"/>
      <c r="L10" s="65"/>
      <c r="M10" s="66" t="s">
        <v>106230</v>
      </c>
      <c r="N10" s="67" t="s">
        <v>112995</v>
      </c>
      <c r="O10" s="67" t="s">
        <v>112995</v>
      </c>
      <c r="P10" s="68"/>
      <c r="Q10" s="68"/>
      <c r="R10" s="69">
        <f>+R11+R15</f>
        <v>246065391.52000001</v>
      </c>
      <c r="S10" s="69">
        <f t="shared" ref="S10:U10" si="4">+S11+S15</f>
        <v>520000000</v>
      </c>
      <c r="T10" s="69">
        <f t="shared" si="4"/>
        <v>340000000</v>
      </c>
      <c r="U10" s="69">
        <f t="shared" si="4"/>
        <v>100000000</v>
      </c>
      <c r="V10" s="69"/>
      <c r="W10" s="70"/>
      <c r="X10" s="70"/>
      <c r="Y10" s="254"/>
      <c r="Z10" s="579">
        <f t="shared" si="1"/>
        <v>-80000000</v>
      </c>
    </row>
    <row r="11" spans="2:26" x14ac:dyDescent="0.2">
      <c r="B11" s="72" t="s">
        <v>105516</v>
      </c>
      <c r="C11" s="72" t="s">
        <v>105573</v>
      </c>
      <c r="D11" s="72" t="s">
        <v>105520</v>
      </c>
      <c r="E11" s="72" t="s">
        <v>105520</v>
      </c>
      <c r="F11" s="72" t="s">
        <v>105541</v>
      </c>
      <c r="G11" s="72" t="s">
        <v>105541</v>
      </c>
      <c r="H11" s="72"/>
      <c r="I11" s="72"/>
      <c r="J11" s="415"/>
      <c r="K11" s="72"/>
      <c r="L11" s="73"/>
      <c r="M11" s="74" t="s">
        <v>106246</v>
      </c>
      <c r="N11" s="75" t="s">
        <v>112995</v>
      </c>
      <c r="O11" s="75" t="s">
        <v>112995</v>
      </c>
      <c r="P11" s="76"/>
      <c r="Q11" s="76"/>
      <c r="R11" s="77">
        <f>+R12</f>
        <v>98395000</v>
      </c>
      <c r="S11" s="77">
        <f t="shared" ref="S11:U11" si="5">+S12</f>
        <v>120000000</v>
      </c>
      <c r="T11" s="77">
        <f t="shared" si="5"/>
        <v>100000000</v>
      </c>
      <c r="U11" s="77">
        <f t="shared" si="5"/>
        <v>0</v>
      </c>
      <c r="V11" s="77"/>
      <c r="W11" s="78"/>
      <c r="X11" s="78"/>
      <c r="Y11" s="72"/>
      <c r="Z11" s="579">
        <f t="shared" si="1"/>
        <v>-20000000</v>
      </c>
    </row>
    <row r="12" spans="2:26" x14ac:dyDescent="0.2">
      <c r="B12" s="80" t="s">
        <v>105516</v>
      </c>
      <c r="C12" s="80" t="s">
        <v>105573</v>
      </c>
      <c r="D12" s="80" t="s">
        <v>105520</v>
      </c>
      <c r="E12" s="80" t="s">
        <v>105520</v>
      </c>
      <c r="F12" s="80" t="s">
        <v>105541</v>
      </c>
      <c r="G12" s="80" t="s">
        <v>105541</v>
      </c>
      <c r="H12" s="81" t="s">
        <v>105573</v>
      </c>
      <c r="I12" s="80"/>
      <c r="J12" s="416"/>
      <c r="K12" s="80"/>
      <c r="L12" s="436"/>
      <c r="M12" s="82" t="s">
        <v>106250</v>
      </c>
      <c r="N12" s="83" t="s">
        <v>112995</v>
      </c>
      <c r="O12" s="83" t="s">
        <v>112995</v>
      </c>
      <c r="P12" s="84"/>
      <c r="Q12" s="84"/>
      <c r="R12" s="85">
        <f>SUM(R13:R14)</f>
        <v>98395000</v>
      </c>
      <c r="S12" s="85">
        <f t="shared" ref="S12:U12" si="6">SUM(S13:S14)</f>
        <v>120000000</v>
      </c>
      <c r="T12" s="85">
        <f t="shared" si="6"/>
        <v>100000000</v>
      </c>
      <c r="U12" s="85">
        <f t="shared" si="6"/>
        <v>0</v>
      </c>
      <c r="V12" s="85"/>
      <c r="W12" s="86"/>
      <c r="X12" s="86"/>
      <c r="Y12" s="80"/>
      <c r="Z12" s="579">
        <f t="shared" si="1"/>
        <v>-20000000</v>
      </c>
    </row>
    <row r="13" spans="2:26" ht="75" x14ac:dyDescent="0.2">
      <c r="B13" s="88"/>
      <c r="C13" s="89"/>
      <c r="D13" s="89"/>
      <c r="E13" s="89"/>
      <c r="F13" s="89"/>
      <c r="G13" s="89"/>
      <c r="H13" s="89"/>
      <c r="I13" s="89"/>
      <c r="J13" s="89"/>
      <c r="K13" s="96" t="s">
        <v>106245</v>
      </c>
      <c r="L13" s="91" t="s">
        <v>112996</v>
      </c>
      <c r="M13" s="92" t="s">
        <v>113521</v>
      </c>
      <c r="N13" s="93">
        <v>45672</v>
      </c>
      <c r="O13" s="93" t="s">
        <v>113060</v>
      </c>
      <c r="P13" s="94" t="s">
        <v>113045</v>
      </c>
      <c r="Q13" s="94" t="s">
        <v>112999</v>
      </c>
      <c r="R13" s="563">
        <v>79395000</v>
      </c>
      <c r="S13" s="314">
        <v>120000000</v>
      </c>
      <c r="T13" s="563">
        <v>100000000</v>
      </c>
      <c r="U13" s="563">
        <v>0</v>
      </c>
      <c r="V13" s="95"/>
      <c r="W13" s="96" t="s">
        <v>106081</v>
      </c>
      <c r="X13" s="97"/>
      <c r="Y13" s="96" t="s">
        <v>113000</v>
      </c>
      <c r="Z13" s="579">
        <f t="shared" si="1"/>
        <v>-20000000</v>
      </c>
    </row>
    <row r="14" spans="2:26" ht="30" x14ac:dyDescent="0.2">
      <c r="B14" s="88"/>
      <c r="C14" s="89"/>
      <c r="D14" s="89"/>
      <c r="E14" s="89"/>
      <c r="F14" s="89"/>
      <c r="G14" s="89"/>
      <c r="H14" s="89"/>
      <c r="I14" s="89"/>
      <c r="J14" s="89"/>
      <c r="K14" s="96" t="s">
        <v>106245</v>
      </c>
      <c r="L14" s="91" t="s">
        <v>113336</v>
      </c>
      <c r="M14" s="100" t="s">
        <v>113239</v>
      </c>
      <c r="N14" s="93">
        <v>45474</v>
      </c>
      <c r="O14" s="93" t="s">
        <v>112997</v>
      </c>
      <c r="P14" s="94" t="s">
        <v>113155</v>
      </c>
      <c r="Q14" s="94" t="s">
        <v>113052</v>
      </c>
      <c r="R14" s="472">
        <v>19000000</v>
      </c>
      <c r="S14" s="99"/>
      <c r="T14" s="472">
        <v>0</v>
      </c>
      <c r="U14" s="472">
        <v>0</v>
      </c>
      <c r="V14" s="95"/>
      <c r="W14" s="96"/>
      <c r="X14" s="97"/>
      <c r="Y14" s="96"/>
      <c r="Z14" s="579">
        <f t="shared" si="1"/>
        <v>0</v>
      </c>
    </row>
    <row r="15" spans="2:26" x14ac:dyDescent="0.2">
      <c r="B15" s="72" t="s">
        <v>105516</v>
      </c>
      <c r="C15" s="72" t="s">
        <v>105573</v>
      </c>
      <c r="D15" s="72" t="s">
        <v>105520</v>
      </c>
      <c r="E15" s="72" t="s">
        <v>105520</v>
      </c>
      <c r="F15" s="72" t="s">
        <v>105541</v>
      </c>
      <c r="G15" s="72" t="s">
        <v>105544</v>
      </c>
      <c r="H15" s="72"/>
      <c r="I15" s="72"/>
      <c r="J15" s="415"/>
      <c r="K15" s="72"/>
      <c r="L15" s="73"/>
      <c r="M15" s="74" t="s">
        <v>106264</v>
      </c>
      <c r="N15" s="75" t="s">
        <v>112995</v>
      </c>
      <c r="O15" s="75" t="s">
        <v>112995</v>
      </c>
      <c r="P15" s="76" t="s">
        <v>112995</v>
      </c>
      <c r="Q15" s="76"/>
      <c r="R15" s="77">
        <f>+R16</f>
        <v>147670391.52000001</v>
      </c>
      <c r="S15" s="77">
        <f t="shared" ref="S15:U15" si="7">+S16</f>
        <v>400000000</v>
      </c>
      <c r="T15" s="77">
        <f t="shared" si="7"/>
        <v>240000000</v>
      </c>
      <c r="U15" s="77">
        <f t="shared" si="7"/>
        <v>100000000</v>
      </c>
      <c r="V15" s="77"/>
      <c r="W15" s="78"/>
      <c r="X15" s="78"/>
      <c r="Y15" s="72"/>
      <c r="Z15" s="579">
        <f t="shared" si="1"/>
        <v>-60000000</v>
      </c>
    </row>
    <row r="16" spans="2:26" ht="30" customHeight="1" x14ac:dyDescent="0.2">
      <c r="B16" s="80" t="s">
        <v>105516</v>
      </c>
      <c r="C16" s="80" t="s">
        <v>105573</v>
      </c>
      <c r="D16" s="80" t="s">
        <v>105520</v>
      </c>
      <c r="E16" s="80" t="s">
        <v>105520</v>
      </c>
      <c r="F16" s="80" t="s">
        <v>105541</v>
      </c>
      <c r="G16" s="80" t="s">
        <v>105544</v>
      </c>
      <c r="H16" s="80" t="s">
        <v>105573</v>
      </c>
      <c r="I16" s="80"/>
      <c r="J16" s="416"/>
      <c r="K16" s="80"/>
      <c r="L16" s="436"/>
      <c r="M16" s="82" t="s">
        <v>113005</v>
      </c>
      <c r="N16" s="83" t="s">
        <v>112995</v>
      </c>
      <c r="O16" s="83" t="s">
        <v>112995</v>
      </c>
      <c r="P16" s="84" t="s">
        <v>112995</v>
      </c>
      <c r="Q16" s="84"/>
      <c r="R16" s="85">
        <f>SUM(R17:R19)</f>
        <v>147670391.52000001</v>
      </c>
      <c r="S16" s="85">
        <f t="shared" ref="S16:U16" si="8">SUM(S17:S19)</f>
        <v>400000000</v>
      </c>
      <c r="T16" s="85">
        <f t="shared" si="8"/>
        <v>240000000</v>
      </c>
      <c r="U16" s="85">
        <f t="shared" si="8"/>
        <v>100000000</v>
      </c>
      <c r="V16" s="85"/>
      <c r="W16" s="86"/>
      <c r="X16" s="86"/>
      <c r="Y16" s="341"/>
      <c r="Z16" s="579">
        <f t="shared" si="1"/>
        <v>-60000000</v>
      </c>
    </row>
    <row r="17" spans="2:26" ht="30" x14ac:dyDescent="0.2">
      <c r="B17" s="88"/>
      <c r="C17" s="89"/>
      <c r="D17" s="89"/>
      <c r="E17" s="89"/>
      <c r="F17" s="89"/>
      <c r="G17" s="89"/>
      <c r="H17" s="89"/>
      <c r="I17" s="89"/>
      <c r="J17" s="89"/>
      <c r="K17" s="96" t="s">
        <v>106263</v>
      </c>
      <c r="L17" s="91" t="s">
        <v>113424</v>
      </c>
      <c r="M17" s="92" t="s">
        <v>113425</v>
      </c>
      <c r="N17" s="93">
        <v>45733</v>
      </c>
      <c r="O17" s="93" t="s">
        <v>113006</v>
      </c>
      <c r="P17" s="94" t="s">
        <v>113028</v>
      </c>
      <c r="Q17" s="94" t="s">
        <v>113008</v>
      </c>
      <c r="R17" s="472">
        <v>147670391.52000001</v>
      </c>
      <c r="S17" s="314">
        <v>160000000</v>
      </c>
      <c r="T17" s="472">
        <v>0</v>
      </c>
      <c r="U17" s="472">
        <v>100000000</v>
      </c>
      <c r="V17" s="95"/>
      <c r="W17" s="103"/>
      <c r="X17" s="104"/>
      <c r="Y17" s="96" t="s">
        <v>113003</v>
      </c>
      <c r="Z17" s="579">
        <f t="shared" si="1"/>
        <v>-60000000</v>
      </c>
    </row>
    <row r="18" spans="2:26" ht="45" x14ac:dyDescent="0.2">
      <c r="B18" s="88"/>
      <c r="C18" s="89"/>
      <c r="D18" s="89"/>
      <c r="E18" s="89"/>
      <c r="F18" s="89"/>
      <c r="G18" s="89"/>
      <c r="H18" s="89"/>
      <c r="I18" s="89"/>
      <c r="J18" s="89"/>
      <c r="K18" s="96" t="s">
        <v>106263</v>
      </c>
      <c r="L18" s="91" t="s">
        <v>113422</v>
      </c>
      <c r="M18" s="92" t="s">
        <v>113423</v>
      </c>
      <c r="N18" s="93">
        <v>45719</v>
      </c>
      <c r="O18" s="93" t="s">
        <v>113006</v>
      </c>
      <c r="P18" s="94" t="s">
        <v>113040</v>
      </c>
      <c r="Q18" s="94" t="s">
        <v>112999</v>
      </c>
      <c r="R18" s="472"/>
      <c r="S18" s="496">
        <v>90000000</v>
      </c>
      <c r="T18" s="472">
        <v>90000000</v>
      </c>
      <c r="U18" s="472">
        <v>0</v>
      </c>
      <c r="V18" s="95"/>
      <c r="W18" s="103"/>
      <c r="X18" s="104"/>
      <c r="Y18" s="96" t="s">
        <v>113003</v>
      </c>
      <c r="Z18" s="579">
        <f t="shared" si="1"/>
        <v>0</v>
      </c>
    </row>
    <row r="19" spans="2:26" ht="45" x14ac:dyDescent="0.2">
      <c r="B19" s="88"/>
      <c r="C19" s="89"/>
      <c r="D19" s="89"/>
      <c r="E19" s="89"/>
      <c r="F19" s="89"/>
      <c r="G19" s="89"/>
      <c r="H19" s="89"/>
      <c r="I19" s="89"/>
      <c r="J19" s="89"/>
      <c r="K19" s="96" t="s">
        <v>106263</v>
      </c>
      <c r="L19" s="91">
        <v>43211500</v>
      </c>
      <c r="M19" s="102" t="s">
        <v>113426</v>
      </c>
      <c r="N19" s="93">
        <v>45733</v>
      </c>
      <c r="O19" s="93" t="s">
        <v>113006</v>
      </c>
      <c r="P19" s="94" t="s">
        <v>113028</v>
      </c>
      <c r="Q19" s="94" t="s">
        <v>112999</v>
      </c>
      <c r="R19" s="472"/>
      <c r="S19" s="496">
        <v>150000000</v>
      </c>
      <c r="T19" s="472">
        <v>150000000</v>
      </c>
      <c r="U19" s="472">
        <v>0</v>
      </c>
      <c r="V19" s="95"/>
      <c r="W19" s="103"/>
      <c r="X19" s="104"/>
      <c r="Y19" s="96" t="s">
        <v>113003</v>
      </c>
      <c r="Z19" s="579">
        <f t="shared" si="1"/>
        <v>0</v>
      </c>
    </row>
    <row r="20" spans="2:26" x14ac:dyDescent="0.2">
      <c r="B20" s="63" t="s">
        <v>105516</v>
      </c>
      <c r="C20" s="63" t="s">
        <v>105573</v>
      </c>
      <c r="D20" s="63" t="s">
        <v>105520</v>
      </c>
      <c r="E20" s="63" t="s">
        <v>105520</v>
      </c>
      <c r="F20" s="63" t="s">
        <v>105547</v>
      </c>
      <c r="G20" s="63"/>
      <c r="H20" s="63"/>
      <c r="I20" s="63"/>
      <c r="J20" s="414"/>
      <c r="K20" s="254"/>
      <c r="L20" s="65"/>
      <c r="M20" s="66" t="s">
        <v>106350</v>
      </c>
      <c r="N20" s="67"/>
      <c r="O20" s="67"/>
      <c r="P20" s="68"/>
      <c r="Q20" s="68"/>
      <c r="R20" s="69">
        <f>+R21</f>
        <v>133084580</v>
      </c>
      <c r="S20" s="69">
        <f t="shared" ref="S20:U24" si="9">+S21</f>
        <v>0</v>
      </c>
      <c r="T20" s="69">
        <f t="shared" si="9"/>
        <v>0</v>
      </c>
      <c r="U20" s="69">
        <f t="shared" si="9"/>
        <v>0</v>
      </c>
      <c r="V20" s="69"/>
      <c r="W20" s="70"/>
      <c r="X20" s="70"/>
      <c r="Y20" s="254"/>
      <c r="Z20" s="579">
        <f t="shared" si="1"/>
        <v>0</v>
      </c>
    </row>
    <row r="21" spans="2:26" x14ac:dyDescent="0.2">
      <c r="B21" s="72" t="s">
        <v>105516</v>
      </c>
      <c r="C21" s="72" t="s">
        <v>105573</v>
      </c>
      <c r="D21" s="72" t="s">
        <v>105520</v>
      </c>
      <c r="E21" s="72" t="s">
        <v>105520</v>
      </c>
      <c r="F21" s="72" t="s">
        <v>105547</v>
      </c>
      <c r="G21" s="72" t="s">
        <v>105535</v>
      </c>
      <c r="H21" s="72"/>
      <c r="I21" s="72"/>
      <c r="J21" s="415"/>
      <c r="K21" s="72"/>
      <c r="L21" s="73"/>
      <c r="M21" s="74" t="s">
        <v>106388</v>
      </c>
      <c r="N21" s="75"/>
      <c r="O21" s="75"/>
      <c r="P21" s="76"/>
      <c r="Q21" s="76"/>
      <c r="R21" s="77">
        <f>+R22</f>
        <v>133084580</v>
      </c>
      <c r="S21" s="77">
        <f t="shared" si="9"/>
        <v>0</v>
      </c>
      <c r="T21" s="77">
        <f t="shared" si="9"/>
        <v>0</v>
      </c>
      <c r="U21" s="77">
        <f t="shared" si="9"/>
        <v>0</v>
      </c>
      <c r="V21" s="77"/>
      <c r="W21" s="78"/>
      <c r="X21" s="78"/>
      <c r="Y21" s="72"/>
      <c r="Z21" s="579">
        <f t="shared" si="1"/>
        <v>0</v>
      </c>
    </row>
    <row r="22" spans="2:26" x14ac:dyDescent="0.2">
      <c r="B22" s="80" t="s">
        <v>105516</v>
      </c>
      <c r="C22" s="80" t="s">
        <v>105573</v>
      </c>
      <c r="D22" s="80" t="s">
        <v>105520</v>
      </c>
      <c r="E22" s="80" t="s">
        <v>105520</v>
      </c>
      <c r="F22" s="80" t="s">
        <v>105547</v>
      </c>
      <c r="G22" s="80" t="s">
        <v>105535</v>
      </c>
      <c r="H22" s="80" t="s">
        <v>105675</v>
      </c>
      <c r="I22" s="80"/>
      <c r="J22" s="416"/>
      <c r="K22" s="80"/>
      <c r="L22" s="436"/>
      <c r="M22" s="82" t="s">
        <v>106404</v>
      </c>
      <c r="N22" s="83"/>
      <c r="O22" s="83"/>
      <c r="P22" s="84"/>
      <c r="Q22" s="84"/>
      <c r="R22" s="85">
        <f>+R23</f>
        <v>133084580</v>
      </c>
      <c r="S22" s="85">
        <f t="shared" si="9"/>
        <v>0</v>
      </c>
      <c r="T22" s="85">
        <f t="shared" si="9"/>
        <v>0</v>
      </c>
      <c r="U22" s="85">
        <f t="shared" si="9"/>
        <v>0</v>
      </c>
      <c r="V22" s="85"/>
      <c r="W22" s="86"/>
      <c r="X22" s="86"/>
      <c r="Y22" s="341"/>
      <c r="Z22" s="579">
        <f t="shared" si="1"/>
        <v>0</v>
      </c>
    </row>
    <row r="23" spans="2:26" x14ac:dyDescent="0.2">
      <c r="B23" s="80" t="s">
        <v>105516</v>
      </c>
      <c r="C23" s="80" t="s">
        <v>105573</v>
      </c>
      <c r="D23" s="80" t="s">
        <v>105520</v>
      </c>
      <c r="E23" s="80" t="s">
        <v>105520</v>
      </c>
      <c r="F23" s="80" t="s">
        <v>105547</v>
      </c>
      <c r="G23" s="80" t="s">
        <v>105535</v>
      </c>
      <c r="H23" s="80" t="s">
        <v>105675</v>
      </c>
      <c r="I23" s="80" t="s">
        <v>105576</v>
      </c>
      <c r="J23" s="416"/>
      <c r="K23" s="80"/>
      <c r="L23" s="436"/>
      <c r="M23" s="82" t="s">
        <v>106406</v>
      </c>
      <c r="N23" s="83"/>
      <c r="O23" s="83"/>
      <c r="P23" s="84"/>
      <c r="Q23" s="84"/>
      <c r="R23" s="85">
        <f>+R24</f>
        <v>133084580</v>
      </c>
      <c r="S23" s="85">
        <f t="shared" si="9"/>
        <v>0</v>
      </c>
      <c r="T23" s="85">
        <f t="shared" si="9"/>
        <v>0</v>
      </c>
      <c r="U23" s="85">
        <f t="shared" si="9"/>
        <v>0</v>
      </c>
      <c r="V23" s="85"/>
      <c r="W23" s="86"/>
      <c r="X23" s="86"/>
      <c r="Y23" s="341"/>
      <c r="Z23" s="579">
        <f t="shared" si="1"/>
        <v>0</v>
      </c>
    </row>
    <row r="24" spans="2:26" x14ac:dyDescent="0.2">
      <c r="B24" s="80" t="s">
        <v>105516</v>
      </c>
      <c r="C24" s="80" t="s">
        <v>105573</v>
      </c>
      <c r="D24" s="80" t="s">
        <v>105520</v>
      </c>
      <c r="E24" s="80" t="s">
        <v>105520</v>
      </c>
      <c r="F24" s="80" t="s">
        <v>105547</v>
      </c>
      <c r="G24" s="80" t="s">
        <v>105535</v>
      </c>
      <c r="H24" s="80" t="s">
        <v>105675</v>
      </c>
      <c r="I24" s="80" t="s">
        <v>105576</v>
      </c>
      <c r="J24" s="416" t="s">
        <v>105520</v>
      </c>
      <c r="K24" s="80"/>
      <c r="L24" s="436"/>
      <c r="M24" s="82" t="s">
        <v>106408</v>
      </c>
      <c r="N24" s="83"/>
      <c r="O24" s="83"/>
      <c r="P24" s="84"/>
      <c r="Q24" s="84"/>
      <c r="R24" s="85">
        <f>+R25</f>
        <v>133084580</v>
      </c>
      <c r="S24" s="85">
        <f t="shared" si="9"/>
        <v>0</v>
      </c>
      <c r="T24" s="85">
        <f t="shared" si="9"/>
        <v>0</v>
      </c>
      <c r="U24" s="85">
        <f t="shared" si="9"/>
        <v>0</v>
      </c>
      <c r="V24" s="85"/>
      <c r="W24" s="86"/>
      <c r="X24" s="86"/>
      <c r="Y24" s="341"/>
      <c r="Z24" s="579">
        <f t="shared" si="1"/>
        <v>0</v>
      </c>
    </row>
    <row r="25" spans="2:26" ht="93" customHeight="1" x14ac:dyDescent="0.2">
      <c r="B25" s="88"/>
      <c r="C25" s="89"/>
      <c r="D25" s="89"/>
      <c r="E25" s="89"/>
      <c r="F25" s="89"/>
      <c r="G25" s="89"/>
      <c r="H25" s="89"/>
      <c r="I25" s="89"/>
      <c r="J25" s="89"/>
      <c r="K25" s="96" t="s">
        <v>106387</v>
      </c>
      <c r="L25" s="55">
        <v>43231500</v>
      </c>
      <c r="M25" s="92" t="s">
        <v>113338</v>
      </c>
      <c r="N25" s="93">
        <v>45496</v>
      </c>
      <c r="O25" s="93" t="s">
        <v>112997</v>
      </c>
      <c r="P25" s="94" t="s">
        <v>113155</v>
      </c>
      <c r="Q25" s="94" t="s">
        <v>113053</v>
      </c>
      <c r="R25" s="95">
        <f>79700000+60000000-366700-6248720</f>
        <v>133084580</v>
      </c>
      <c r="S25" s="95"/>
      <c r="T25" s="592">
        <v>0</v>
      </c>
      <c r="U25" s="95">
        <v>0</v>
      </c>
      <c r="V25" s="95"/>
      <c r="W25" s="96"/>
      <c r="X25" s="97"/>
      <c r="Y25" s="96"/>
      <c r="Z25" s="579">
        <f t="shared" si="1"/>
        <v>0</v>
      </c>
    </row>
    <row r="26" spans="2:26" s="53" customFormat="1" ht="15.75" x14ac:dyDescent="0.25">
      <c r="B26" s="43" t="s">
        <v>105516</v>
      </c>
      <c r="C26" s="43" t="s">
        <v>105573</v>
      </c>
      <c r="D26" s="43" t="s">
        <v>105573</v>
      </c>
      <c r="E26" s="43"/>
      <c r="F26" s="43"/>
      <c r="G26" s="43"/>
      <c r="H26" s="43"/>
      <c r="I26" s="43"/>
      <c r="J26" s="412"/>
      <c r="K26" s="437"/>
      <c r="L26" s="45"/>
      <c r="M26" s="46" t="s">
        <v>106435</v>
      </c>
      <c r="N26" s="47"/>
      <c r="O26" s="47"/>
      <c r="P26" s="48"/>
      <c r="Q26" s="48"/>
      <c r="R26" s="49">
        <f>+R27+R97</f>
        <v>7829850028.4799995</v>
      </c>
      <c r="S26" s="49">
        <f t="shared" ref="S26:U26" si="10">+S27+S97</f>
        <v>4840189000</v>
      </c>
      <c r="T26" s="49">
        <f t="shared" si="10"/>
        <v>3009000000</v>
      </c>
      <c r="U26" s="49">
        <f t="shared" si="10"/>
        <v>1867000000</v>
      </c>
      <c r="V26" s="49"/>
      <c r="W26" s="50"/>
      <c r="X26" s="50"/>
      <c r="Y26" s="396"/>
      <c r="Z26" s="579">
        <f t="shared" si="1"/>
        <v>35811000</v>
      </c>
    </row>
    <row r="27" spans="2:26" x14ac:dyDescent="0.2">
      <c r="B27" s="54" t="s">
        <v>105516</v>
      </c>
      <c r="C27" s="54" t="s">
        <v>105573</v>
      </c>
      <c r="D27" s="54" t="s">
        <v>105573</v>
      </c>
      <c r="E27" s="54" t="s">
        <v>105520</v>
      </c>
      <c r="F27" s="54"/>
      <c r="G27" s="54"/>
      <c r="H27" s="54"/>
      <c r="I27" s="54"/>
      <c r="J27" s="413"/>
      <c r="K27" s="54"/>
      <c r="L27" s="55"/>
      <c r="M27" s="56" t="s">
        <v>106437</v>
      </c>
      <c r="N27" s="57"/>
      <c r="O27" s="57"/>
      <c r="P27" s="58"/>
      <c r="Q27" s="58"/>
      <c r="R27" s="59">
        <f>+R28+R32+R45+R75</f>
        <v>1111034808.48</v>
      </c>
      <c r="S27" s="59">
        <f t="shared" ref="S27:U27" si="11">+S28+S32+S45+S75</f>
        <v>1051200000</v>
      </c>
      <c r="T27" s="59">
        <f t="shared" si="11"/>
        <v>434400000</v>
      </c>
      <c r="U27" s="59">
        <f t="shared" si="11"/>
        <v>737000000</v>
      </c>
      <c r="V27" s="59"/>
      <c r="W27" s="60"/>
      <c r="X27" s="60"/>
      <c r="Y27" s="397"/>
      <c r="Z27" s="579">
        <f t="shared" si="1"/>
        <v>120200000</v>
      </c>
    </row>
    <row r="28" spans="2:26" x14ac:dyDescent="0.2">
      <c r="B28" s="63" t="s">
        <v>105516</v>
      </c>
      <c r="C28" s="63" t="s">
        <v>105573</v>
      </c>
      <c r="D28" s="63" t="s">
        <v>105573</v>
      </c>
      <c r="E28" s="63" t="s">
        <v>105520</v>
      </c>
      <c r="F28" s="63" t="s">
        <v>106438</v>
      </c>
      <c r="G28" s="63"/>
      <c r="H28" s="63"/>
      <c r="I28" s="63"/>
      <c r="J28" s="414"/>
      <c r="K28" s="254"/>
      <c r="L28" s="65"/>
      <c r="M28" s="66" t="s">
        <v>106440</v>
      </c>
      <c r="N28" s="67"/>
      <c r="O28" s="67"/>
      <c r="P28" s="68"/>
      <c r="Q28" s="68"/>
      <c r="R28" s="69">
        <f>+R29</f>
        <v>5000000</v>
      </c>
      <c r="S28" s="69">
        <f t="shared" ref="S28:U30" si="12">+S29</f>
        <v>5500000</v>
      </c>
      <c r="T28" s="69">
        <f t="shared" si="12"/>
        <v>5500000</v>
      </c>
      <c r="U28" s="69">
        <f t="shared" si="12"/>
        <v>0</v>
      </c>
      <c r="V28" s="69"/>
      <c r="W28" s="70"/>
      <c r="X28" s="70"/>
      <c r="Y28" s="254"/>
      <c r="Z28" s="579">
        <f t="shared" si="1"/>
        <v>0</v>
      </c>
    </row>
    <row r="29" spans="2:26" x14ac:dyDescent="0.2">
      <c r="B29" s="72" t="s">
        <v>105516</v>
      </c>
      <c r="C29" s="72" t="s">
        <v>105573</v>
      </c>
      <c r="D29" s="72" t="s">
        <v>105573</v>
      </c>
      <c r="E29" s="72" t="s">
        <v>105520</v>
      </c>
      <c r="F29" s="72" t="s">
        <v>106438</v>
      </c>
      <c r="G29" s="72" t="s">
        <v>105528</v>
      </c>
      <c r="H29" s="72"/>
      <c r="I29" s="72"/>
      <c r="J29" s="415"/>
      <c r="K29" s="72"/>
      <c r="L29" s="73"/>
      <c r="M29" s="74" t="s">
        <v>106442</v>
      </c>
      <c r="N29" s="75"/>
      <c r="O29" s="75"/>
      <c r="P29" s="76"/>
      <c r="Q29" s="76"/>
      <c r="R29" s="77">
        <f>+R30</f>
        <v>5000000</v>
      </c>
      <c r="S29" s="77">
        <f t="shared" si="12"/>
        <v>5500000</v>
      </c>
      <c r="T29" s="77">
        <f t="shared" si="12"/>
        <v>5500000</v>
      </c>
      <c r="U29" s="77">
        <f t="shared" si="12"/>
        <v>0</v>
      </c>
      <c r="V29" s="77"/>
      <c r="W29" s="78"/>
      <c r="X29" s="78"/>
      <c r="Y29" s="72"/>
      <c r="Z29" s="579">
        <f t="shared" si="1"/>
        <v>0</v>
      </c>
    </row>
    <row r="30" spans="2:26" x14ac:dyDescent="0.2">
      <c r="B30" s="106" t="s">
        <v>105516</v>
      </c>
      <c r="C30" s="106" t="s">
        <v>105573</v>
      </c>
      <c r="D30" s="106" t="s">
        <v>105573</v>
      </c>
      <c r="E30" s="106" t="s">
        <v>105520</v>
      </c>
      <c r="F30" s="106" t="s">
        <v>106438</v>
      </c>
      <c r="G30" s="106" t="s">
        <v>105528</v>
      </c>
      <c r="H30" s="106" t="s">
        <v>106100</v>
      </c>
      <c r="I30" s="106"/>
      <c r="J30" s="417"/>
      <c r="K30" s="122"/>
      <c r="L30" s="108"/>
      <c r="M30" s="303" t="s">
        <v>113217</v>
      </c>
      <c r="N30" s="110"/>
      <c r="O30" s="110"/>
      <c r="P30" s="111"/>
      <c r="Q30" s="111"/>
      <c r="R30" s="112">
        <f>+R31</f>
        <v>5000000</v>
      </c>
      <c r="S30" s="112">
        <f t="shared" si="12"/>
        <v>5500000</v>
      </c>
      <c r="T30" s="112">
        <f t="shared" si="12"/>
        <v>5500000</v>
      </c>
      <c r="U30" s="112">
        <f t="shared" si="12"/>
        <v>0</v>
      </c>
      <c r="V30" s="112"/>
      <c r="W30" s="113"/>
      <c r="X30" s="113"/>
      <c r="Y30" s="122"/>
      <c r="Z30" s="579">
        <f t="shared" si="1"/>
        <v>0</v>
      </c>
    </row>
    <row r="31" spans="2:26" ht="30" x14ac:dyDescent="0.2">
      <c r="B31" s="115"/>
      <c r="C31" s="116"/>
      <c r="D31" s="116"/>
      <c r="E31" s="116"/>
      <c r="F31" s="116"/>
      <c r="G31" s="116"/>
      <c r="H31" s="116"/>
      <c r="I31" s="116"/>
      <c r="J31" s="116"/>
      <c r="K31" s="96" t="s">
        <v>106441</v>
      </c>
      <c r="L31" s="91">
        <v>50201700</v>
      </c>
      <c r="M31" s="102" t="s">
        <v>113741</v>
      </c>
      <c r="N31" s="93">
        <v>45731</v>
      </c>
      <c r="O31" s="93" t="s">
        <v>113006</v>
      </c>
      <c r="P31" s="94" t="s">
        <v>113040</v>
      </c>
      <c r="Q31" s="94" t="s">
        <v>113008</v>
      </c>
      <c r="R31" s="472">
        <v>5000000</v>
      </c>
      <c r="S31" s="314">
        <v>5500000</v>
      </c>
      <c r="T31" s="472">
        <v>5500000</v>
      </c>
      <c r="U31" s="472">
        <v>0</v>
      </c>
      <c r="V31" s="95"/>
      <c r="W31" s="96"/>
      <c r="X31" s="97"/>
      <c r="Y31" s="398" t="s">
        <v>113012</v>
      </c>
      <c r="Z31" s="579">
        <f t="shared" si="1"/>
        <v>0</v>
      </c>
    </row>
    <row r="32" spans="2:26" ht="30" x14ac:dyDescent="0.2">
      <c r="B32" s="63" t="s">
        <v>105516</v>
      </c>
      <c r="C32" s="63" t="s">
        <v>105573</v>
      </c>
      <c r="D32" s="63" t="s">
        <v>105573</v>
      </c>
      <c r="E32" s="63" t="s">
        <v>105520</v>
      </c>
      <c r="F32" s="63" t="s">
        <v>105535</v>
      </c>
      <c r="G32" s="63"/>
      <c r="H32" s="63"/>
      <c r="I32" s="63"/>
      <c r="J32" s="414"/>
      <c r="K32" s="254"/>
      <c r="L32" s="65"/>
      <c r="M32" s="66" t="s">
        <v>106527</v>
      </c>
      <c r="N32" s="67"/>
      <c r="O32" s="67"/>
      <c r="P32" s="68"/>
      <c r="Q32" s="68"/>
      <c r="R32" s="69">
        <f>+R33+R38+R42</f>
        <v>341948178</v>
      </c>
      <c r="S32" s="69">
        <f t="shared" ref="S32:U32" si="13">+S33+S38+S42</f>
        <v>383900000</v>
      </c>
      <c r="T32" s="69">
        <f t="shared" si="13"/>
        <v>28900000</v>
      </c>
      <c r="U32" s="69">
        <f t="shared" si="13"/>
        <v>355000000</v>
      </c>
      <c r="V32" s="69"/>
      <c r="W32" s="70"/>
      <c r="X32" s="70"/>
      <c r="Y32" s="254"/>
      <c r="Z32" s="579">
        <f t="shared" si="1"/>
        <v>0</v>
      </c>
    </row>
    <row r="33" spans="2:26" ht="30" x14ac:dyDescent="0.2">
      <c r="B33" s="72" t="s">
        <v>105516</v>
      </c>
      <c r="C33" s="72" t="s">
        <v>105573</v>
      </c>
      <c r="D33" s="72" t="s">
        <v>105573</v>
      </c>
      <c r="E33" s="72" t="s">
        <v>105520</v>
      </c>
      <c r="F33" s="72" t="s">
        <v>105535</v>
      </c>
      <c r="G33" s="72" t="s">
        <v>105538</v>
      </c>
      <c r="H33" s="72"/>
      <c r="I33" s="72"/>
      <c r="J33" s="415"/>
      <c r="K33" s="72"/>
      <c r="L33" s="73"/>
      <c r="M33" s="74" t="s">
        <v>106547</v>
      </c>
      <c r="N33" s="75"/>
      <c r="O33" s="75"/>
      <c r="P33" s="76"/>
      <c r="Q33" s="76"/>
      <c r="R33" s="77">
        <f>+R34+R36</f>
        <v>18000000</v>
      </c>
      <c r="S33" s="77">
        <f t="shared" ref="S33:U33" si="14">+S34+S36</f>
        <v>20000000</v>
      </c>
      <c r="T33" s="77">
        <f t="shared" si="14"/>
        <v>20000000</v>
      </c>
      <c r="U33" s="77">
        <f t="shared" si="14"/>
        <v>0</v>
      </c>
      <c r="V33" s="77"/>
      <c r="W33" s="78"/>
      <c r="X33" s="78"/>
      <c r="Y33" s="72"/>
      <c r="Z33" s="579">
        <f t="shared" si="1"/>
        <v>0</v>
      </c>
    </row>
    <row r="34" spans="2:26" x14ac:dyDescent="0.2">
      <c r="B34" s="80" t="s">
        <v>105516</v>
      </c>
      <c r="C34" s="80" t="s">
        <v>105573</v>
      </c>
      <c r="D34" s="80" t="s">
        <v>105573</v>
      </c>
      <c r="E34" s="80" t="s">
        <v>105520</v>
      </c>
      <c r="F34" s="80" t="s">
        <v>105535</v>
      </c>
      <c r="G34" s="80" t="s">
        <v>105538</v>
      </c>
      <c r="H34" s="80" t="s">
        <v>105924</v>
      </c>
      <c r="I34" s="80"/>
      <c r="J34" s="416"/>
      <c r="K34" s="80"/>
      <c r="L34" s="436"/>
      <c r="M34" s="304" t="s">
        <v>113218</v>
      </c>
      <c r="N34" s="83"/>
      <c r="O34" s="83"/>
      <c r="P34" s="84"/>
      <c r="Q34" s="84"/>
      <c r="R34" s="85">
        <f>+R35</f>
        <v>9000000</v>
      </c>
      <c r="S34" s="85">
        <f t="shared" ref="S34:U34" si="15">+S35</f>
        <v>10000000</v>
      </c>
      <c r="T34" s="85">
        <f t="shared" si="15"/>
        <v>10000000</v>
      </c>
      <c r="U34" s="85">
        <f t="shared" si="15"/>
        <v>0</v>
      </c>
      <c r="V34" s="85"/>
      <c r="W34" s="86"/>
      <c r="X34" s="86"/>
      <c r="Y34" s="341"/>
      <c r="Z34" s="579">
        <f t="shared" si="1"/>
        <v>0</v>
      </c>
    </row>
    <row r="35" spans="2:26" ht="30" x14ac:dyDescent="0.2">
      <c r="B35" s="88"/>
      <c r="C35" s="89"/>
      <c r="D35" s="89"/>
      <c r="E35" s="89"/>
      <c r="F35" s="89"/>
      <c r="G35" s="89"/>
      <c r="H35" s="89"/>
      <c r="I35" s="89"/>
      <c r="J35" s="89"/>
      <c r="K35" s="96" t="s">
        <v>106546</v>
      </c>
      <c r="L35" s="91">
        <v>50161500</v>
      </c>
      <c r="M35" s="102" t="s">
        <v>113742</v>
      </c>
      <c r="N35" s="93">
        <v>45731</v>
      </c>
      <c r="O35" s="93" t="s">
        <v>113006</v>
      </c>
      <c r="P35" s="94" t="s">
        <v>113040</v>
      </c>
      <c r="Q35" s="94" t="s">
        <v>113008</v>
      </c>
      <c r="R35" s="472">
        <v>9000000</v>
      </c>
      <c r="S35" s="314">
        <v>10000000</v>
      </c>
      <c r="T35" s="472">
        <v>10000000</v>
      </c>
      <c r="U35" s="472">
        <v>0</v>
      </c>
      <c r="V35" s="95"/>
      <c r="W35" s="96"/>
      <c r="X35" s="97"/>
      <c r="Y35" s="398" t="s">
        <v>113012</v>
      </c>
      <c r="Z35" s="579">
        <f t="shared" si="1"/>
        <v>0</v>
      </c>
    </row>
    <row r="36" spans="2:26" x14ac:dyDescent="0.2">
      <c r="B36" s="80" t="s">
        <v>105516</v>
      </c>
      <c r="C36" s="80" t="s">
        <v>105573</v>
      </c>
      <c r="D36" s="80" t="s">
        <v>105573</v>
      </c>
      <c r="E36" s="80" t="s">
        <v>105520</v>
      </c>
      <c r="F36" s="80" t="s">
        <v>105535</v>
      </c>
      <c r="G36" s="80" t="s">
        <v>105538</v>
      </c>
      <c r="H36" s="80" t="s">
        <v>106106</v>
      </c>
      <c r="I36" s="80"/>
      <c r="J36" s="416"/>
      <c r="K36" s="80"/>
      <c r="L36" s="436"/>
      <c r="M36" s="82" t="s">
        <v>106563</v>
      </c>
      <c r="N36" s="83"/>
      <c r="O36" s="83"/>
      <c r="P36" s="84"/>
      <c r="Q36" s="84"/>
      <c r="R36" s="85">
        <f>+R37</f>
        <v>9000000</v>
      </c>
      <c r="S36" s="85">
        <f t="shared" ref="S36:U36" si="16">+S37</f>
        <v>10000000</v>
      </c>
      <c r="T36" s="85">
        <f t="shared" si="16"/>
        <v>10000000</v>
      </c>
      <c r="U36" s="85">
        <f t="shared" si="16"/>
        <v>0</v>
      </c>
      <c r="V36" s="85"/>
      <c r="W36" s="86"/>
      <c r="X36" s="86"/>
      <c r="Y36" s="341"/>
      <c r="Z36" s="579">
        <f t="shared" si="1"/>
        <v>0</v>
      </c>
    </row>
    <row r="37" spans="2:26" ht="30" x14ac:dyDescent="0.2">
      <c r="B37" s="88"/>
      <c r="C37" s="89"/>
      <c r="D37" s="89"/>
      <c r="E37" s="89"/>
      <c r="F37" s="89"/>
      <c r="G37" s="89"/>
      <c r="H37" s="89"/>
      <c r="I37" s="89"/>
      <c r="J37" s="89"/>
      <c r="K37" s="96" t="s">
        <v>106546</v>
      </c>
      <c r="L37" s="55">
        <v>50161500</v>
      </c>
      <c r="M37" s="102" t="s">
        <v>113743</v>
      </c>
      <c r="N37" s="93">
        <v>45731</v>
      </c>
      <c r="O37" s="93" t="s">
        <v>113006</v>
      </c>
      <c r="P37" s="94" t="s">
        <v>113040</v>
      </c>
      <c r="Q37" s="94" t="s">
        <v>113008</v>
      </c>
      <c r="R37" s="472">
        <v>9000000</v>
      </c>
      <c r="S37" s="314">
        <v>10000000</v>
      </c>
      <c r="T37" s="472">
        <v>10000000</v>
      </c>
      <c r="U37" s="472">
        <v>0</v>
      </c>
      <c r="V37" s="95"/>
      <c r="W37" s="96"/>
      <c r="X37" s="97"/>
      <c r="Y37" s="398" t="s">
        <v>113012</v>
      </c>
      <c r="Z37" s="579">
        <f t="shared" si="1"/>
        <v>0</v>
      </c>
    </row>
    <row r="38" spans="2:26" x14ac:dyDescent="0.2">
      <c r="B38" s="72" t="s">
        <v>105516</v>
      </c>
      <c r="C38" s="72" t="s">
        <v>105573</v>
      </c>
      <c r="D38" s="72" t="s">
        <v>105573</v>
      </c>
      <c r="E38" s="72" t="s">
        <v>105520</v>
      </c>
      <c r="F38" s="72" t="s">
        <v>105535</v>
      </c>
      <c r="G38" s="72" t="s">
        <v>105550</v>
      </c>
      <c r="H38" s="72"/>
      <c r="I38" s="72"/>
      <c r="J38" s="415"/>
      <c r="K38" s="72"/>
      <c r="L38" s="73"/>
      <c r="M38" s="74" t="s">
        <v>106581</v>
      </c>
      <c r="N38" s="75"/>
      <c r="O38" s="75"/>
      <c r="P38" s="76"/>
      <c r="Q38" s="76"/>
      <c r="R38" s="77">
        <f>SUM(R39:R41)</f>
        <v>57575360</v>
      </c>
      <c r="S38" s="77">
        <f t="shared" ref="S38:U38" si="17">SUM(S39:S41)</f>
        <v>63900000</v>
      </c>
      <c r="T38" s="77">
        <f t="shared" si="17"/>
        <v>8900000</v>
      </c>
      <c r="U38" s="77">
        <f t="shared" si="17"/>
        <v>55000000</v>
      </c>
      <c r="V38" s="77"/>
      <c r="W38" s="78"/>
      <c r="X38" s="78"/>
      <c r="Y38" s="72"/>
      <c r="Z38" s="579">
        <f t="shared" si="1"/>
        <v>0</v>
      </c>
    </row>
    <row r="39" spans="2:26" ht="30" x14ac:dyDescent="0.2">
      <c r="B39" s="88"/>
      <c r="C39" s="89"/>
      <c r="D39" s="89"/>
      <c r="E39" s="89"/>
      <c r="F39" s="89"/>
      <c r="G39" s="89"/>
      <c r="H39" s="89"/>
      <c r="I39" s="89"/>
      <c r="J39" s="89"/>
      <c r="K39" s="96" t="s">
        <v>106580</v>
      </c>
      <c r="L39" s="55">
        <v>14121500</v>
      </c>
      <c r="M39" s="102" t="s">
        <v>113744</v>
      </c>
      <c r="N39" s="93">
        <v>45731</v>
      </c>
      <c r="O39" s="93" t="s">
        <v>113006</v>
      </c>
      <c r="P39" s="94" t="s">
        <v>113040</v>
      </c>
      <c r="Q39" s="94" t="s">
        <v>113008</v>
      </c>
      <c r="R39" s="472">
        <v>800000</v>
      </c>
      <c r="S39" s="314">
        <v>900000</v>
      </c>
      <c r="T39" s="472">
        <v>900000</v>
      </c>
      <c r="U39" s="472">
        <v>0</v>
      </c>
      <c r="V39" s="95"/>
      <c r="W39" s="96"/>
      <c r="X39" s="97"/>
      <c r="Y39" s="398" t="s">
        <v>113012</v>
      </c>
      <c r="Z39" s="579">
        <f t="shared" si="1"/>
        <v>0</v>
      </c>
    </row>
    <row r="40" spans="2:26" ht="60" x14ac:dyDescent="0.2">
      <c r="B40" s="88"/>
      <c r="C40" s="89"/>
      <c r="D40" s="89"/>
      <c r="E40" s="89"/>
      <c r="F40" s="89"/>
      <c r="G40" s="89"/>
      <c r="H40" s="89"/>
      <c r="I40" s="89"/>
      <c r="J40" s="89"/>
      <c r="K40" s="96" t="s">
        <v>106580</v>
      </c>
      <c r="L40" s="91" t="s">
        <v>113340</v>
      </c>
      <c r="M40" s="102" t="s">
        <v>113707</v>
      </c>
      <c r="N40" s="93">
        <v>45717</v>
      </c>
      <c r="O40" s="93" t="s">
        <v>113006</v>
      </c>
      <c r="P40" s="94" t="s">
        <v>113045</v>
      </c>
      <c r="Q40" s="94" t="s">
        <v>113052</v>
      </c>
      <c r="R40" s="472">
        <v>6775360</v>
      </c>
      <c r="S40" s="314">
        <v>8000000</v>
      </c>
      <c r="T40" s="472">
        <v>8000000</v>
      </c>
      <c r="U40" s="472">
        <v>0</v>
      </c>
      <c r="V40" s="95"/>
      <c r="W40" s="96"/>
      <c r="X40" s="97"/>
      <c r="Y40" s="96" t="s">
        <v>113019</v>
      </c>
      <c r="Z40" s="579">
        <f t="shared" si="1"/>
        <v>0</v>
      </c>
    </row>
    <row r="41" spans="2:26" ht="150" x14ac:dyDescent="0.2">
      <c r="B41" s="88"/>
      <c r="C41" s="89"/>
      <c r="D41" s="89"/>
      <c r="E41" s="89"/>
      <c r="F41" s="89"/>
      <c r="G41" s="89"/>
      <c r="H41" s="89"/>
      <c r="I41" s="89"/>
      <c r="J41" s="89"/>
      <c r="K41" s="96" t="s">
        <v>106580</v>
      </c>
      <c r="L41" s="91" t="s">
        <v>113241</v>
      </c>
      <c r="M41" s="102" t="s">
        <v>113708</v>
      </c>
      <c r="N41" s="440">
        <v>45839</v>
      </c>
      <c r="O41" s="441" t="s">
        <v>113010</v>
      </c>
      <c r="P41" s="441" t="s">
        <v>113155</v>
      </c>
      <c r="Q41" s="441" t="s">
        <v>112999</v>
      </c>
      <c r="R41" s="472">
        <v>50000000</v>
      </c>
      <c r="S41" s="314">
        <v>55000000</v>
      </c>
      <c r="T41" s="472">
        <v>0</v>
      </c>
      <c r="U41" s="472">
        <v>55000000</v>
      </c>
      <c r="V41" s="95"/>
      <c r="W41" s="96"/>
      <c r="X41" s="97"/>
      <c r="Y41" s="96" t="s">
        <v>113019</v>
      </c>
      <c r="Z41" s="579">
        <f t="shared" si="1"/>
        <v>0</v>
      </c>
    </row>
    <row r="42" spans="2:26" x14ac:dyDescent="0.2">
      <c r="B42" s="72" t="s">
        <v>105516</v>
      </c>
      <c r="C42" s="72" t="s">
        <v>105573</v>
      </c>
      <c r="D42" s="72" t="s">
        <v>105573</v>
      </c>
      <c r="E42" s="72" t="s">
        <v>105520</v>
      </c>
      <c r="F42" s="72" t="s">
        <v>105535</v>
      </c>
      <c r="G42" s="72" t="s">
        <v>105553</v>
      </c>
      <c r="H42" s="72"/>
      <c r="I42" s="72"/>
      <c r="J42" s="415"/>
      <c r="K42" s="72"/>
      <c r="L42" s="73"/>
      <c r="M42" s="74" t="s">
        <v>106583</v>
      </c>
      <c r="N42" s="75"/>
      <c r="O42" s="75"/>
      <c r="P42" s="76"/>
      <c r="Q42" s="76"/>
      <c r="R42" s="77">
        <f>SUM(R43:R44)</f>
        <v>266372818</v>
      </c>
      <c r="S42" s="77">
        <f t="shared" ref="S42:U42" si="18">SUM(S43:S44)</f>
        <v>300000000</v>
      </c>
      <c r="T42" s="77">
        <f t="shared" si="18"/>
        <v>0</v>
      </c>
      <c r="U42" s="77">
        <f t="shared" si="18"/>
        <v>300000000</v>
      </c>
      <c r="V42" s="77"/>
      <c r="W42" s="78"/>
      <c r="X42" s="78"/>
      <c r="Y42" s="72"/>
      <c r="Z42" s="579">
        <f t="shared" si="1"/>
        <v>0</v>
      </c>
    </row>
    <row r="43" spans="2:26" ht="45" x14ac:dyDescent="0.2">
      <c r="B43" s="88"/>
      <c r="C43" s="89"/>
      <c r="D43" s="89"/>
      <c r="E43" s="89"/>
      <c r="F43" s="89"/>
      <c r="G43" s="89"/>
      <c r="H43" s="89"/>
      <c r="I43" s="89"/>
      <c r="J43" s="89"/>
      <c r="K43" s="96" t="s">
        <v>106582</v>
      </c>
      <c r="L43" s="91" t="s">
        <v>113020</v>
      </c>
      <c r="M43" s="102" t="s">
        <v>113745</v>
      </c>
      <c r="N43" s="93">
        <v>45708</v>
      </c>
      <c r="O43" s="93" t="s">
        <v>113001</v>
      </c>
      <c r="P43" s="94" t="s">
        <v>113004</v>
      </c>
      <c r="Q43" s="94" t="s">
        <v>113038</v>
      </c>
      <c r="R43" s="563">
        <v>86006118</v>
      </c>
      <c r="S43" s="314">
        <v>100000000</v>
      </c>
      <c r="T43" s="563">
        <v>0</v>
      </c>
      <c r="U43" s="563">
        <v>100000000</v>
      </c>
      <c r="V43" s="95"/>
      <c r="W43" s="96"/>
      <c r="X43" s="97"/>
      <c r="Y43" s="398" t="s">
        <v>113012</v>
      </c>
      <c r="Z43" s="579">
        <f t="shared" si="1"/>
        <v>0</v>
      </c>
    </row>
    <row r="44" spans="2:26" ht="150" x14ac:dyDescent="0.2">
      <c r="B44" s="88"/>
      <c r="C44" s="89"/>
      <c r="D44" s="89"/>
      <c r="E44" s="89"/>
      <c r="F44" s="89"/>
      <c r="G44" s="89"/>
      <c r="H44" s="89"/>
      <c r="I44" s="89"/>
      <c r="J44" s="89"/>
      <c r="K44" s="96" t="s">
        <v>106582</v>
      </c>
      <c r="L44" s="91" t="s">
        <v>113241</v>
      </c>
      <c r="M44" s="102" t="s">
        <v>113709</v>
      </c>
      <c r="N44" s="440">
        <v>45839</v>
      </c>
      <c r="O44" s="441" t="s">
        <v>113010</v>
      </c>
      <c r="P44" s="441" t="s">
        <v>113155</v>
      </c>
      <c r="Q44" s="441" t="s">
        <v>112999</v>
      </c>
      <c r="R44" s="563">
        <v>180366700</v>
      </c>
      <c r="S44" s="314">
        <v>200000000</v>
      </c>
      <c r="T44" s="563">
        <v>0</v>
      </c>
      <c r="U44" s="563">
        <v>200000000</v>
      </c>
      <c r="V44" s="95"/>
      <c r="W44" s="96"/>
      <c r="X44" s="97"/>
      <c r="Y44" s="96" t="s">
        <v>113019</v>
      </c>
      <c r="Z44" s="579">
        <f t="shared" si="1"/>
        <v>0</v>
      </c>
    </row>
    <row r="45" spans="2:26" ht="30" x14ac:dyDescent="0.2">
      <c r="B45" s="63" t="s">
        <v>105516</v>
      </c>
      <c r="C45" s="63" t="s">
        <v>105573</v>
      </c>
      <c r="D45" s="63" t="s">
        <v>105573</v>
      </c>
      <c r="E45" s="63" t="s">
        <v>105520</v>
      </c>
      <c r="F45" s="63" t="s">
        <v>105538</v>
      </c>
      <c r="G45" s="63"/>
      <c r="H45" s="63"/>
      <c r="I45" s="63"/>
      <c r="J45" s="414"/>
      <c r="K45" s="254"/>
      <c r="L45" s="65"/>
      <c r="M45" s="66" t="s">
        <v>106589</v>
      </c>
      <c r="N45" s="67"/>
      <c r="O45" s="67"/>
      <c r="P45" s="68"/>
      <c r="Q45" s="68"/>
      <c r="R45" s="69">
        <f>+R46+R52+R57+R62+R70</f>
        <v>345793882</v>
      </c>
      <c r="S45" s="69">
        <f t="shared" ref="S45:U45" si="19">+S46+S52+S57+S62+S70</f>
        <v>334800000</v>
      </c>
      <c r="T45" s="69">
        <f t="shared" si="19"/>
        <v>190000000</v>
      </c>
      <c r="U45" s="69">
        <f t="shared" si="19"/>
        <v>135000000</v>
      </c>
      <c r="V45" s="69"/>
      <c r="W45" s="70"/>
      <c r="X45" s="70"/>
      <c r="Y45" s="254"/>
      <c r="Z45" s="579">
        <f t="shared" si="1"/>
        <v>-9800000</v>
      </c>
    </row>
    <row r="46" spans="2:26" ht="30" x14ac:dyDescent="0.2">
      <c r="B46" s="72" t="s">
        <v>105516</v>
      </c>
      <c r="C46" s="72" t="s">
        <v>105573</v>
      </c>
      <c r="D46" s="72" t="s">
        <v>105573</v>
      </c>
      <c r="E46" s="72" t="s">
        <v>105520</v>
      </c>
      <c r="F46" s="72" t="s">
        <v>105538</v>
      </c>
      <c r="G46" s="72" t="s">
        <v>105535</v>
      </c>
      <c r="H46" s="72"/>
      <c r="I46" s="72"/>
      <c r="J46" s="415"/>
      <c r="K46" s="72"/>
      <c r="L46" s="73"/>
      <c r="M46" s="305" t="s">
        <v>113232</v>
      </c>
      <c r="N46" s="75"/>
      <c r="O46" s="75"/>
      <c r="P46" s="76"/>
      <c r="Q46" s="76"/>
      <c r="R46" s="77">
        <f>+R47+R50</f>
        <v>67000000</v>
      </c>
      <c r="S46" s="77">
        <f t="shared" ref="S46:U46" si="20">+S47+S50</f>
        <v>53000000</v>
      </c>
      <c r="T46" s="77">
        <f t="shared" si="20"/>
        <v>53000000</v>
      </c>
      <c r="U46" s="77">
        <f t="shared" si="20"/>
        <v>0</v>
      </c>
      <c r="V46" s="77"/>
      <c r="W46" s="78"/>
      <c r="X46" s="78"/>
      <c r="Y46" s="72"/>
      <c r="Z46" s="579">
        <f t="shared" si="1"/>
        <v>0</v>
      </c>
    </row>
    <row r="47" spans="2:26" x14ac:dyDescent="0.2">
      <c r="B47" s="80" t="s">
        <v>105516</v>
      </c>
      <c r="C47" s="80" t="s">
        <v>105573</v>
      </c>
      <c r="D47" s="80" t="s">
        <v>105573</v>
      </c>
      <c r="E47" s="80" t="s">
        <v>105520</v>
      </c>
      <c r="F47" s="80" t="s">
        <v>105538</v>
      </c>
      <c r="G47" s="80" t="s">
        <v>105535</v>
      </c>
      <c r="H47" s="80" t="s">
        <v>105520</v>
      </c>
      <c r="I47" s="80"/>
      <c r="J47" s="416"/>
      <c r="K47" s="80"/>
      <c r="L47" s="436"/>
      <c r="M47" s="82" t="s">
        <v>106595</v>
      </c>
      <c r="N47" s="83"/>
      <c r="O47" s="83"/>
      <c r="P47" s="84"/>
      <c r="Q47" s="84"/>
      <c r="R47" s="85">
        <f>SUM(R48:R49)</f>
        <v>61500000</v>
      </c>
      <c r="S47" s="85">
        <f t="shared" ref="S47:U47" si="21">SUM(S48:S49)</f>
        <v>47500000</v>
      </c>
      <c r="T47" s="85">
        <f t="shared" si="21"/>
        <v>47500000</v>
      </c>
      <c r="U47" s="85">
        <f t="shared" si="21"/>
        <v>0</v>
      </c>
      <c r="V47" s="85"/>
      <c r="W47" s="86"/>
      <c r="X47" s="86"/>
      <c r="Y47" s="341"/>
      <c r="Z47" s="579">
        <f t="shared" si="1"/>
        <v>0</v>
      </c>
    </row>
    <row r="48" spans="2:26" ht="45" x14ac:dyDescent="0.2">
      <c r="B48" s="88"/>
      <c r="C48" s="89"/>
      <c r="D48" s="89"/>
      <c r="E48" s="89"/>
      <c r="F48" s="89"/>
      <c r="G48" s="89"/>
      <c r="H48" s="89"/>
      <c r="I48" s="89"/>
      <c r="J48" s="89"/>
      <c r="K48" s="96" t="s">
        <v>106592</v>
      </c>
      <c r="L48" s="91" t="s">
        <v>113024</v>
      </c>
      <c r="M48" s="102" t="s">
        <v>113746</v>
      </c>
      <c r="N48" s="93">
        <v>45731</v>
      </c>
      <c r="O48" s="93" t="s">
        <v>113006</v>
      </c>
      <c r="P48" s="94" t="s">
        <v>113040</v>
      </c>
      <c r="Q48" s="94" t="s">
        <v>113008</v>
      </c>
      <c r="R48" s="472">
        <v>16500000</v>
      </c>
      <c r="S48" s="314">
        <v>17500000</v>
      </c>
      <c r="T48" s="472">
        <v>17500000</v>
      </c>
      <c r="U48" s="472">
        <v>0</v>
      </c>
      <c r="V48" s="95"/>
      <c r="W48" s="96"/>
      <c r="X48" s="97"/>
      <c r="Y48" s="398" t="s">
        <v>113012</v>
      </c>
      <c r="Z48" s="579">
        <f t="shared" si="1"/>
        <v>0</v>
      </c>
    </row>
    <row r="49" spans="2:26" ht="180" x14ac:dyDescent="0.2">
      <c r="B49" s="88"/>
      <c r="C49" s="89"/>
      <c r="D49" s="89"/>
      <c r="E49" s="89"/>
      <c r="F49" s="89"/>
      <c r="G49" s="89"/>
      <c r="H49" s="89"/>
      <c r="I49" s="89"/>
      <c r="J49" s="89"/>
      <c r="K49" s="96" t="s">
        <v>106592</v>
      </c>
      <c r="L49" s="91" t="s">
        <v>113026</v>
      </c>
      <c r="M49" s="92" t="s">
        <v>113522</v>
      </c>
      <c r="N49" s="93">
        <v>45716</v>
      </c>
      <c r="O49" s="93" t="s">
        <v>113001</v>
      </c>
      <c r="P49" s="94" t="s">
        <v>113045</v>
      </c>
      <c r="Q49" s="94" t="s">
        <v>113008</v>
      </c>
      <c r="R49" s="472">
        <v>45000000</v>
      </c>
      <c r="S49" s="497">
        <v>30000000</v>
      </c>
      <c r="T49" s="472">
        <v>30000000</v>
      </c>
      <c r="U49" s="472">
        <v>0</v>
      </c>
      <c r="V49" s="95"/>
      <c r="W49" s="96" t="s">
        <v>106081</v>
      </c>
      <c r="X49" s="97"/>
      <c r="Y49" s="96" t="s">
        <v>113029</v>
      </c>
      <c r="Z49" s="579">
        <f t="shared" si="1"/>
        <v>0</v>
      </c>
    </row>
    <row r="50" spans="2:26" ht="30" x14ac:dyDescent="0.2">
      <c r="B50" s="80" t="s">
        <v>105516</v>
      </c>
      <c r="C50" s="80" t="s">
        <v>105573</v>
      </c>
      <c r="D50" s="80" t="s">
        <v>105573</v>
      </c>
      <c r="E50" s="80" t="s">
        <v>105520</v>
      </c>
      <c r="F50" s="80" t="s">
        <v>105538</v>
      </c>
      <c r="G50" s="80" t="s">
        <v>105535</v>
      </c>
      <c r="H50" s="80" t="s">
        <v>105917</v>
      </c>
      <c r="I50" s="80"/>
      <c r="J50" s="416"/>
      <c r="K50" s="80"/>
      <c r="L50" s="436"/>
      <c r="M50" s="304" t="s">
        <v>106601</v>
      </c>
      <c r="N50" s="83"/>
      <c r="O50" s="83"/>
      <c r="P50" s="84"/>
      <c r="Q50" s="84"/>
      <c r="R50" s="85">
        <f>R51</f>
        <v>5500000</v>
      </c>
      <c r="S50" s="85">
        <f t="shared" ref="S50:U50" si="22">S51</f>
        <v>5500000</v>
      </c>
      <c r="T50" s="85">
        <f t="shared" si="22"/>
        <v>5500000</v>
      </c>
      <c r="U50" s="85">
        <f t="shared" si="22"/>
        <v>0</v>
      </c>
      <c r="V50" s="85"/>
      <c r="W50" s="86"/>
      <c r="X50" s="86"/>
      <c r="Y50" s="341"/>
      <c r="Z50" s="579">
        <f t="shared" si="1"/>
        <v>0</v>
      </c>
    </row>
    <row r="51" spans="2:26" x14ac:dyDescent="0.2">
      <c r="B51" s="88"/>
      <c r="C51" s="89"/>
      <c r="D51" s="89"/>
      <c r="E51" s="89"/>
      <c r="F51" s="89"/>
      <c r="G51" s="89"/>
      <c r="H51" s="89"/>
      <c r="I51" s="89"/>
      <c r="J51" s="89"/>
      <c r="K51" s="96" t="s">
        <v>106592</v>
      </c>
      <c r="L51" s="55"/>
      <c r="M51" s="92" t="s">
        <v>113030</v>
      </c>
      <c r="N51" s="93" t="s">
        <v>113031</v>
      </c>
      <c r="O51" s="93" t="s">
        <v>113031</v>
      </c>
      <c r="P51" s="93" t="s">
        <v>113031</v>
      </c>
      <c r="Q51" s="93" t="s">
        <v>113031</v>
      </c>
      <c r="R51" s="95">
        <v>5500000</v>
      </c>
      <c r="S51" s="95">
        <v>5500000</v>
      </c>
      <c r="T51" s="95">
        <v>5500000</v>
      </c>
      <c r="U51" s="95">
        <v>0</v>
      </c>
      <c r="V51" s="95"/>
      <c r="W51" s="96"/>
      <c r="X51" s="97"/>
      <c r="Y51" s="96"/>
      <c r="Z51" s="579">
        <f t="shared" si="1"/>
        <v>0</v>
      </c>
    </row>
    <row r="52" spans="2:26" ht="30" x14ac:dyDescent="0.2">
      <c r="B52" s="72" t="s">
        <v>105516</v>
      </c>
      <c r="C52" s="72" t="s">
        <v>105573</v>
      </c>
      <c r="D52" s="72" t="s">
        <v>105573</v>
      </c>
      <c r="E52" s="72" t="s">
        <v>105520</v>
      </c>
      <c r="F52" s="72" t="s">
        <v>105538</v>
      </c>
      <c r="G52" s="72" t="s">
        <v>105538</v>
      </c>
      <c r="H52" s="72"/>
      <c r="I52" s="72"/>
      <c r="J52" s="415"/>
      <c r="K52" s="72"/>
      <c r="L52" s="73"/>
      <c r="M52" s="305" t="s">
        <v>106611</v>
      </c>
      <c r="N52" s="75"/>
      <c r="O52" s="75"/>
      <c r="P52" s="76"/>
      <c r="Q52" s="76"/>
      <c r="R52" s="77">
        <f>+R53+R55</f>
        <v>50000000</v>
      </c>
      <c r="S52" s="77">
        <f t="shared" ref="S52:U52" si="23">+S53+S55</f>
        <v>40000000</v>
      </c>
      <c r="T52" s="77">
        <f t="shared" si="23"/>
        <v>40000000</v>
      </c>
      <c r="U52" s="77">
        <f t="shared" si="23"/>
        <v>0</v>
      </c>
      <c r="V52" s="77"/>
      <c r="W52" s="78"/>
      <c r="X52" s="78"/>
      <c r="Y52" s="72"/>
      <c r="Z52" s="579">
        <f t="shared" si="1"/>
        <v>0</v>
      </c>
    </row>
    <row r="53" spans="2:26" ht="81.75" customHeight="1" x14ac:dyDescent="0.2">
      <c r="B53" s="80" t="s">
        <v>105516</v>
      </c>
      <c r="C53" s="80" t="s">
        <v>105573</v>
      </c>
      <c r="D53" s="80" t="s">
        <v>105573</v>
      </c>
      <c r="E53" s="80" t="s">
        <v>105520</v>
      </c>
      <c r="F53" s="80" t="s">
        <v>105538</v>
      </c>
      <c r="G53" s="80" t="s">
        <v>105538</v>
      </c>
      <c r="H53" s="80" t="s">
        <v>105675</v>
      </c>
      <c r="I53" s="80"/>
      <c r="J53" s="416"/>
      <c r="K53" s="80"/>
      <c r="L53" s="436"/>
      <c r="M53" s="304" t="s">
        <v>106617</v>
      </c>
      <c r="N53" s="83"/>
      <c r="O53" s="83"/>
      <c r="P53" s="84"/>
      <c r="Q53" s="84"/>
      <c r="R53" s="85">
        <f>+R54</f>
        <v>10000000</v>
      </c>
      <c r="S53" s="85">
        <f t="shared" ref="S53:U53" si="24">+S54</f>
        <v>10000000</v>
      </c>
      <c r="T53" s="85">
        <f t="shared" si="24"/>
        <v>10000000</v>
      </c>
      <c r="U53" s="85">
        <f t="shared" si="24"/>
        <v>0</v>
      </c>
      <c r="V53" s="85"/>
      <c r="W53" s="86"/>
      <c r="X53" s="86"/>
      <c r="Y53" s="341"/>
      <c r="Z53" s="579">
        <f t="shared" si="1"/>
        <v>0</v>
      </c>
    </row>
    <row r="54" spans="2:26" ht="30" x14ac:dyDescent="0.2">
      <c r="B54" s="88"/>
      <c r="C54" s="89"/>
      <c r="D54" s="89"/>
      <c r="E54" s="89"/>
      <c r="F54" s="89"/>
      <c r="G54" s="89"/>
      <c r="H54" s="89"/>
      <c r="I54" s="89"/>
      <c r="J54" s="89"/>
      <c r="K54" s="96" t="s">
        <v>106610</v>
      </c>
      <c r="L54" s="55">
        <v>15121500</v>
      </c>
      <c r="M54" s="92" t="s">
        <v>113033</v>
      </c>
      <c r="N54" s="93">
        <v>45685</v>
      </c>
      <c r="O54" s="93" t="s">
        <v>113037</v>
      </c>
      <c r="P54" s="94" t="s">
        <v>113022</v>
      </c>
      <c r="Q54" s="94" t="s">
        <v>113034</v>
      </c>
      <c r="R54" s="472">
        <v>10000000</v>
      </c>
      <c r="S54" s="314">
        <v>10000000</v>
      </c>
      <c r="T54" s="472">
        <v>10000000</v>
      </c>
      <c r="U54" s="472">
        <v>0</v>
      </c>
      <c r="V54" s="95"/>
      <c r="W54" s="96"/>
      <c r="X54" s="97"/>
      <c r="Y54" s="96" t="s">
        <v>113035</v>
      </c>
      <c r="Z54" s="579">
        <f t="shared" si="1"/>
        <v>0</v>
      </c>
    </row>
    <row r="55" spans="2:26" ht="30" x14ac:dyDescent="0.2">
      <c r="B55" s="80" t="s">
        <v>105516</v>
      </c>
      <c r="C55" s="80" t="s">
        <v>105573</v>
      </c>
      <c r="D55" s="80" t="s">
        <v>105573</v>
      </c>
      <c r="E55" s="80" t="s">
        <v>105520</v>
      </c>
      <c r="F55" s="80" t="s">
        <v>105538</v>
      </c>
      <c r="G55" s="80" t="s">
        <v>105538</v>
      </c>
      <c r="H55" s="80" t="s">
        <v>105917</v>
      </c>
      <c r="I55" s="80"/>
      <c r="J55" s="416"/>
      <c r="K55" s="80"/>
      <c r="L55" s="436"/>
      <c r="M55" s="304" t="s">
        <v>106619</v>
      </c>
      <c r="N55" s="83"/>
      <c r="O55" s="83"/>
      <c r="P55" s="84"/>
      <c r="Q55" s="84"/>
      <c r="R55" s="85">
        <f>+R56</f>
        <v>40000000</v>
      </c>
      <c r="S55" s="85">
        <f t="shared" ref="S55:U55" si="25">+S56</f>
        <v>30000000</v>
      </c>
      <c r="T55" s="85">
        <f t="shared" si="25"/>
        <v>30000000</v>
      </c>
      <c r="U55" s="85">
        <f t="shared" si="25"/>
        <v>0</v>
      </c>
      <c r="V55" s="85"/>
      <c r="W55" s="86"/>
      <c r="X55" s="86"/>
      <c r="Y55" s="341"/>
      <c r="Z55" s="579">
        <f t="shared" si="1"/>
        <v>0</v>
      </c>
    </row>
    <row r="56" spans="2:26" ht="30" x14ac:dyDescent="0.2">
      <c r="B56" s="88"/>
      <c r="C56" s="89"/>
      <c r="D56" s="89"/>
      <c r="E56" s="89"/>
      <c r="F56" s="89"/>
      <c r="G56" s="89"/>
      <c r="H56" s="89"/>
      <c r="I56" s="89"/>
      <c r="J56" s="89"/>
      <c r="K56" s="96" t="s">
        <v>106610</v>
      </c>
      <c r="L56" s="55">
        <v>15121500</v>
      </c>
      <c r="M56" s="100" t="s">
        <v>113036</v>
      </c>
      <c r="N56" s="93">
        <v>45748</v>
      </c>
      <c r="O56" s="93" t="s">
        <v>113087</v>
      </c>
      <c r="P56" s="94" t="s">
        <v>113028</v>
      </c>
      <c r="Q56" s="94" t="s">
        <v>113038</v>
      </c>
      <c r="R56" s="472">
        <v>40000000</v>
      </c>
      <c r="S56" s="314">
        <v>30000000</v>
      </c>
      <c r="T56" s="472">
        <v>30000000</v>
      </c>
      <c r="U56" s="472">
        <v>0</v>
      </c>
      <c r="V56" s="95"/>
      <c r="W56" s="96"/>
      <c r="X56" s="97"/>
      <c r="Y56" s="96" t="s">
        <v>113035</v>
      </c>
      <c r="Z56" s="579">
        <f t="shared" si="1"/>
        <v>0</v>
      </c>
    </row>
    <row r="57" spans="2:26" ht="30" x14ac:dyDescent="0.2">
      <c r="B57" s="72" t="s">
        <v>105516</v>
      </c>
      <c r="C57" s="72" t="s">
        <v>105573</v>
      </c>
      <c r="D57" s="72" t="s">
        <v>105573</v>
      </c>
      <c r="E57" s="72" t="s">
        <v>105520</v>
      </c>
      <c r="F57" s="72" t="s">
        <v>105538</v>
      </c>
      <c r="G57" s="72" t="s">
        <v>105544</v>
      </c>
      <c r="H57" s="72"/>
      <c r="I57" s="72"/>
      <c r="J57" s="415"/>
      <c r="K57" s="72"/>
      <c r="L57" s="73"/>
      <c r="M57" s="305" t="s">
        <v>106645</v>
      </c>
      <c r="N57" s="75"/>
      <c r="O57" s="75"/>
      <c r="P57" s="76"/>
      <c r="Q57" s="76"/>
      <c r="R57" s="77">
        <f>+R58+R60</f>
        <v>80000000</v>
      </c>
      <c r="S57" s="77">
        <f t="shared" ref="S57:U57" si="26">+S58+S60</f>
        <v>56000000</v>
      </c>
      <c r="T57" s="77">
        <f t="shared" si="26"/>
        <v>56000000</v>
      </c>
      <c r="U57" s="77">
        <f t="shared" si="26"/>
        <v>0</v>
      </c>
      <c r="V57" s="77"/>
      <c r="W57" s="78"/>
      <c r="X57" s="78"/>
      <c r="Y57" s="72"/>
      <c r="Z57" s="579">
        <f t="shared" si="1"/>
        <v>0</v>
      </c>
    </row>
    <row r="58" spans="2:26" ht="30" x14ac:dyDescent="0.2">
      <c r="B58" s="80" t="s">
        <v>105516</v>
      </c>
      <c r="C58" s="80" t="s">
        <v>105573</v>
      </c>
      <c r="D58" s="80" t="s">
        <v>105573</v>
      </c>
      <c r="E58" s="80" t="s">
        <v>105520</v>
      </c>
      <c r="F58" s="80" t="s">
        <v>105538</v>
      </c>
      <c r="G58" s="80" t="s">
        <v>105544</v>
      </c>
      <c r="H58" s="81" t="s">
        <v>105520</v>
      </c>
      <c r="I58" s="80"/>
      <c r="J58" s="416"/>
      <c r="K58" s="80"/>
      <c r="L58" s="436"/>
      <c r="M58" s="82" t="s">
        <v>106647</v>
      </c>
      <c r="N58" s="83"/>
      <c r="O58" s="83"/>
      <c r="P58" s="84"/>
      <c r="Q58" s="84"/>
      <c r="R58" s="85">
        <f>+R59</f>
        <v>65000000</v>
      </c>
      <c r="S58" s="85">
        <f t="shared" ref="S58:U58" si="27">+S59</f>
        <v>40000000</v>
      </c>
      <c r="T58" s="85">
        <f t="shared" si="27"/>
        <v>40000000</v>
      </c>
      <c r="U58" s="85">
        <f t="shared" si="27"/>
        <v>0</v>
      </c>
      <c r="V58" s="85"/>
      <c r="W58" s="86"/>
      <c r="X58" s="86"/>
      <c r="Y58" s="341"/>
      <c r="Z58" s="579">
        <f t="shared" si="1"/>
        <v>0</v>
      </c>
    </row>
    <row r="59" spans="2:26" x14ac:dyDescent="0.2">
      <c r="B59" s="88"/>
      <c r="C59" s="89"/>
      <c r="D59" s="89"/>
      <c r="E59" s="89"/>
      <c r="F59" s="89"/>
      <c r="G59" s="89"/>
      <c r="H59" s="89"/>
      <c r="I59" s="89"/>
      <c r="J59" s="89"/>
      <c r="K59" s="96" t="s">
        <v>106644</v>
      </c>
      <c r="L59" s="91">
        <v>44103100</v>
      </c>
      <c r="M59" s="92" t="s">
        <v>113523</v>
      </c>
      <c r="N59" s="93">
        <v>45716</v>
      </c>
      <c r="O59" s="93" t="s">
        <v>113001</v>
      </c>
      <c r="P59" s="94" t="s">
        <v>113045</v>
      </c>
      <c r="Q59" s="94" t="s">
        <v>113008</v>
      </c>
      <c r="R59" s="472">
        <v>65000000</v>
      </c>
      <c r="S59" s="497">
        <v>40000000</v>
      </c>
      <c r="T59" s="472">
        <v>40000000</v>
      </c>
      <c r="U59" s="472">
        <v>0</v>
      </c>
      <c r="V59" s="95"/>
      <c r="W59" s="96" t="s">
        <v>106081</v>
      </c>
      <c r="X59" s="97"/>
      <c r="Y59" s="96" t="s">
        <v>113029</v>
      </c>
      <c r="Z59" s="579">
        <f t="shared" si="1"/>
        <v>0</v>
      </c>
    </row>
    <row r="60" spans="2:26" ht="30" x14ac:dyDescent="0.2">
      <c r="B60" s="80" t="s">
        <v>105516</v>
      </c>
      <c r="C60" s="80" t="s">
        <v>105573</v>
      </c>
      <c r="D60" s="80" t="s">
        <v>105573</v>
      </c>
      <c r="E60" s="80" t="s">
        <v>105520</v>
      </c>
      <c r="F60" s="80" t="s">
        <v>105538</v>
      </c>
      <c r="G60" s="80" t="s">
        <v>105544</v>
      </c>
      <c r="H60" s="80" t="s">
        <v>105675</v>
      </c>
      <c r="I60" s="80"/>
      <c r="J60" s="416"/>
      <c r="K60" s="80"/>
      <c r="L60" s="436"/>
      <c r="M60" s="82" t="s">
        <v>106651</v>
      </c>
      <c r="N60" s="83"/>
      <c r="O60" s="83"/>
      <c r="P60" s="84"/>
      <c r="Q60" s="84"/>
      <c r="R60" s="85">
        <f>+R61</f>
        <v>15000000</v>
      </c>
      <c r="S60" s="85">
        <f t="shared" ref="S60:U60" si="28">+S61</f>
        <v>16000000</v>
      </c>
      <c r="T60" s="85">
        <f t="shared" si="28"/>
        <v>16000000</v>
      </c>
      <c r="U60" s="85">
        <f t="shared" si="28"/>
        <v>0</v>
      </c>
      <c r="V60" s="85"/>
      <c r="W60" s="86"/>
      <c r="X60" s="86"/>
      <c r="Y60" s="341"/>
      <c r="Z60" s="579">
        <f t="shared" si="1"/>
        <v>0</v>
      </c>
    </row>
    <row r="61" spans="2:26" ht="30" x14ac:dyDescent="0.2">
      <c r="B61" s="88"/>
      <c r="C61" s="89"/>
      <c r="D61" s="89"/>
      <c r="E61" s="89"/>
      <c r="F61" s="89"/>
      <c r="G61" s="89"/>
      <c r="H61" s="89"/>
      <c r="I61" s="89"/>
      <c r="J61" s="89"/>
      <c r="K61" s="96" t="s">
        <v>106644</v>
      </c>
      <c r="L61" s="91" t="s">
        <v>113042</v>
      </c>
      <c r="M61" s="92" t="s">
        <v>113747</v>
      </c>
      <c r="N61" s="93">
        <v>45731</v>
      </c>
      <c r="O61" s="93" t="s">
        <v>113006</v>
      </c>
      <c r="P61" s="94" t="s">
        <v>113040</v>
      </c>
      <c r="Q61" s="94" t="s">
        <v>113008</v>
      </c>
      <c r="R61" s="472">
        <v>15000000</v>
      </c>
      <c r="S61" s="314">
        <v>16000000</v>
      </c>
      <c r="T61" s="472">
        <v>16000000</v>
      </c>
      <c r="U61" s="472">
        <v>0</v>
      </c>
      <c r="V61" s="95"/>
      <c r="W61" s="96"/>
      <c r="X61" s="97"/>
      <c r="Y61" s="398" t="s">
        <v>113012</v>
      </c>
      <c r="Z61" s="579">
        <f t="shared" si="1"/>
        <v>0</v>
      </c>
    </row>
    <row r="62" spans="2:26" x14ac:dyDescent="0.2">
      <c r="B62" s="72" t="s">
        <v>105516</v>
      </c>
      <c r="C62" s="72" t="s">
        <v>105573</v>
      </c>
      <c r="D62" s="72" t="s">
        <v>105573</v>
      </c>
      <c r="E62" s="72" t="s">
        <v>105520</v>
      </c>
      <c r="F62" s="72" t="s">
        <v>105538</v>
      </c>
      <c r="G62" s="72" t="s">
        <v>105547</v>
      </c>
      <c r="H62" s="72"/>
      <c r="I62" s="72"/>
      <c r="J62" s="415"/>
      <c r="K62" s="72"/>
      <c r="L62" s="73"/>
      <c r="M62" s="74" t="s">
        <v>106657</v>
      </c>
      <c r="N62" s="75"/>
      <c r="O62" s="75"/>
      <c r="P62" s="76"/>
      <c r="Q62" s="76"/>
      <c r="R62" s="77">
        <f>+R63+R65+R67</f>
        <v>118993882</v>
      </c>
      <c r="S62" s="77">
        <f t="shared" ref="S62:U62" si="29">+S63+S65+S67</f>
        <v>121000000</v>
      </c>
      <c r="T62" s="77">
        <f t="shared" si="29"/>
        <v>11000000</v>
      </c>
      <c r="U62" s="77">
        <f t="shared" si="29"/>
        <v>100000000</v>
      </c>
      <c r="V62" s="77"/>
      <c r="W62" s="78"/>
      <c r="X62" s="78"/>
      <c r="Y62" s="72"/>
      <c r="Z62" s="579">
        <f t="shared" si="1"/>
        <v>-10000000</v>
      </c>
    </row>
    <row r="63" spans="2:26" x14ac:dyDescent="0.2">
      <c r="B63" s="80" t="s">
        <v>105516</v>
      </c>
      <c r="C63" s="80" t="s">
        <v>105573</v>
      </c>
      <c r="D63" s="80" t="s">
        <v>105573</v>
      </c>
      <c r="E63" s="80" t="s">
        <v>105520</v>
      </c>
      <c r="F63" s="80" t="s">
        <v>105538</v>
      </c>
      <c r="G63" s="80" t="s">
        <v>105547</v>
      </c>
      <c r="H63" s="80" t="s">
        <v>105520</v>
      </c>
      <c r="I63" s="80"/>
      <c r="J63" s="416"/>
      <c r="K63" s="80"/>
      <c r="L63" s="436"/>
      <c r="M63" s="82" t="s">
        <v>106659</v>
      </c>
      <c r="N63" s="83"/>
      <c r="O63" s="83"/>
      <c r="P63" s="84"/>
      <c r="Q63" s="84"/>
      <c r="R63" s="85">
        <f>+R64</f>
        <v>34000000</v>
      </c>
      <c r="S63" s="85">
        <f t="shared" ref="S63:U63" si="30">+S64</f>
        <v>20000000</v>
      </c>
      <c r="T63" s="85">
        <f t="shared" si="30"/>
        <v>0</v>
      </c>
      <c r="U63" s="85">
        <f t="shared" si="30"/>
        <v>10000000</v>
      </c>
      <c r="V63" s="85"/>
      <c r="W63" s="86"/>
      <c r="X63" s="86"/>
      <c r="Y63" s="341"/>
      <c r="Z63" s="579">
        <f t="shared" si="1"/>
        <v>-10000000</v>
      </c>
    </row>
    <row r="64" spans="2:26" ht="30" x14ac:dyDescent="0.2">
      <c r="B64" s="88"/>
      <c r="C64" s="89"/>
      <c r="D64" s="89"/>
      <c r="E64" s="89"/>
      <c r="F64" s="89"/>
      <c r="G64" s="89"/>
      <c r="H64" s="89"/>
      <c r="I64" s="89"/>
      <c r="J64" s="89"/>
      <c r="K64" s="96" t="s">
        <v>106656</v>
      </c>
      <c r="L64" s="55">
        <v>25172500</v>
      </c>
      <c r="M64" s="92" t="s">
        <v>113044</v>
      </c>
      <c r="N64" s="93">
        <v>45703</v>
      </c>
      <c r="O64" s="93" t="s">
        <v>113001</v>
      </c>
      <c r="P64" s="94" t="s">
        <v>113201</v>
      </c>
      <c r="Q64" s="94" t="s">
        <v>113052</v>
      </c>
      <c r="R64" s="472">
        <v>34000000</v>
      </c>
      <c r="S64" s="95">
        <v>20000000</v>
      </c>
      <c r="T64" s="472">
        <v>0</v>
      </c>
      <c r="U64" s="472">
        <v>10000000</v>
      </c>
      <c r="V64" s="95"/>
      <c r="W64" s="96"/>
      <c r="X64" s="97"/>
      <c r="Y64" s="96" t="s">
        <v>113035</v>
      </c>
      <c r="Z64" s="579">
        <f t="shared" si="1"/>
        <v>-10000000</v>
      </c>
    </row>
    <row r="65" spans="2:26" x14ac:dyDescent="0.2">
      <c r="B65" s="80" t="s">
        <v>105516</v>
      </c>
      <c r="C65" s="80" t="s">
        <v>105573</v>
      </c>
      <c r="D65" s="80" t="s">
        <v>105573</v>
      </c>
      <c r="E65" s="80" t="s">
        <v>105520</v>
      </c>
      <c r="F65" s="80" t="s">
        <v>105538</v>
      </c>
      <c r="G65" s="80" t="s">
        <v>105547</v>
      </c>
      <c r="H65" s="80" t="s">
        <v>105573</v>
      </c>
      <c r="I65" s="80"/>
      <c r="J65" s="416"/>
      <c r="K65" s="80"/>
      <c r="L65" s="436"/>
      <c r="M65" s="82" t="s">
        <v>106661</v>
      </c>
      <c r="N65" s="83"/>
      <c r="O65" s="83"/>
      <c r="P65" s="84"/>
      <c r="Q65" s="84"/>
      <c r="R65" s="85">
        <f>+R66</f>
        <v>74993882</v>
      </c>
      <c r="S65" s="85">
        <f t="shared" ref="S65:U65" si="31">+S66</f>
        <v>90000000</v>
      </c>
      <c r="T65" s="85">
        <f t="shared" si="31"/>
        <v>0</v>
      </c>
      <c r="U65" s="85">
        <f t="shared" si="31"/>
        <v>90000000</v>
      </c>
      <c r="V65" s="85"/>
      <c r="W65" s="86"/>
      <c r="X65" s="86"/>
      <c r="Y65" s="341"/>
      <c r="Z65" s="579">
        <f t="shared" si="1"/>
        <v>0</v>
      </c>
    </row>
    <row r="66" spans="2:26" ht="150" x14ac:dyDescent="0.2">
      <c r="B66" s="88"/>
      <c r="C66" s="89"/>
      <c r="D66" s="89"/>
      <c r="E66" s="89"/>
      <c r="F66" s="89"/>
      <c r="G66" s="89"/>
      <c r="H66" s="89"/>
      <c r="I66" s="89"/>
      <c r="J66" s="89"/>
      <c r="K66" s="96" t="s">
        <v>106656</v>
      </c>
      <c r="L66" s="91" t="s">
        <v>113241</v>
      </c>
      <c r="M66" s="102" t="s">
        <v>113710</v>
      </c>
      <c r="N66" s="440">
        <v>45839</v>
      </c>
      <c r="O66" s="441" t="s">
        <v>113010</v>
      </c>
      <c r="P66" s="441" t="s">
        <v>113155</v>
      </c>
      <c r="Q66" s="441" t="s">
        <v>112999</v>
      </c>
      <c r="R66" s="563">
        <v>74993882</v>
      </c>
      <c r="S66" s="314">
        <v>90000000</v>
      </c>
      <c r="T66" s="472">
        <v>0</v>
      </c>
      <c r="U66" s="563">
        <v>90000000</v>
      </c>
      <c r="V66" s="95"/>
      <c r="W66" s="96"/>
      <c r="X66" s="97"/>
      <c r="Y66" s="96" t="s">
        <v>113019</v>
      </c>
      <c r="Z66" s="579">
        <f t="shared" si="1"/>
        <v>0</v>
      </c>
    </row>
    <row r="67" spans="2:26" x14ac:dyDescent="0.2">
      <c r="B67" s="80" t="s">
        <v>105516</v>
      </c>
      <c r="C67" s="80" t="s">
        <v>105573</v>
      </c>
      <c r="D67" s="80" t="s">
        <v>105573</v>
      </c>
      <c r="E67" s="80" t="s">
        <v>105520</v>
      </c>
      <c r="F67" s="80" t="s">
        <v>105538</v>
      </c>
      <c r="G67" s="80" t="s">
        <v>105547</v>
      </c>
      <c r="H67" s="80" t="s">
        <v>106109</v>
      </c>
      <c r="I67" s="80"/>
      <c r="J67" s="416"/>
      <c r="K67" s="80"/>
      <c r="L67" s="108"/>
      <c r="M67" s="109" t="s">
        <v>106667</v>
      </c>
      <c r="N67" s="110"/>
      <c r="O67" s="110"/>
      <c r="P67" s="111"/>
      <c r="Q67" s="111"/>
      <c r="R67" s="112">
        <f>SUM(R68:R69)</f>
        <v>10000000</v>
      </c>
      <c r="S67" s="112">
        <f t="shared" ref="S67:U67" si="32">SUM(S68:S69)</f>
        <v>11000000</v>
      </c>
      <c r="T67" s="112">
        <f t="shared" si="32"/>
        <v>11000000</v>
      </c>
      <c r="U67" s="112">
        <f t="shared" si="32"/>
        <v>0</v>
      </c>
      <c r="V67" s="112"/>
      <c r="W67" s="113"/>
      <c r="X67" s="113"/>
      <c r="Y67" s="122"/>
      <c r="Z67" s="579">
        <f t="shared" si="1"/>
        <v>0</v>
      </c>
    </row>
    <row r="68" spans="2:26" ht="60" x14ac:dyDescent="0.2">
      <c r="B68" s="88"/>
      <c r="C68" s="89"/>
      <c r="D68" s="89"/>
      <c r="E68" s="89"/>
      <c r="F68" s="89"/>
      <c r="G68" s="89"/>
      <c r="H68" s="89"/>
      <c r="I68" s="89"/>
      <c r="J68" s="89"/>
      <c r="K68" s="96" t="s">
        <v>106656</v>
      </c>
      <c r="L68" s="91" t="s">
        <v>113047</v>
      </c>
      <c r="M68" s="92" t="s">
        <v>113748</v>
      </c>
      <c r="N68" s="93">
        <v>45731</v>
      </c>
      <c r="O68" s="93" t="s">
        <v>113006</v>
      </c>
      <c r="P68" s="94" t="s">
        <v>113040</v>
      </c>
      <c r="Q68" s="94" t="s">
        <v>113008</v>
      </c>
      <c r="R68" s="472">
        <v>10000000</v>
      </c>
      <c r="S68" s="314">
        <v>11000000</v>
      </c>
      <c r="T68" s="472">
        <v>11000000</v>
      </c>
      <c r="U68" s="472">
        <v>0</v>
      </c>
      <c r="V68" s="95"/>
      <c r="W68" s="96"/>
      <c r="X68" s="97"/>
      <c r="Y68" s="398" t="s">
        <v>113012</v>
      </c>
      <c r="Z68" s="579">
        <f t="shared" si="1"/>
        <v>0</v>
      </c>
    </row>
    <row r="69" spans="2:26" ht="150" x14ac:dyDescent="0.2">
      <c r="B69" s="88"/>
      <c r="C69" s="89"/>
      <c r="D69" s="89"/>
      <c r="E69" s="89"/>
      <c r="F69" s="89"/>
      <c r="G69" s="89"/>
      <c r="H69" s="89"/>
      <c r="I69" s="89"/>
      <c r="J69" s="89"/>
      <c r="K69" s="96" t="s">
        <v>106656</v>
      </c>
      <c r="L69" s="181" t="s">
        <v>113382</v>
      </c>
      <c r="M69" s="102" t="s">
        <v>113711</v>
      </c>
      <c r="N69" s="93">
        <v>45689</v>
      </c>
      <c r="O69" s="93" t="s">
        <v>113001</v>
      </c>
      <c r="P69" s="94" t="s">
        <v>113040</v>
      </c>
      <c r="Q69" s="441" t="s">
        <v>112999</v>
      </c>
      <c r="R69" s="472"/>
      <c r="S69" s="95">
        <v>0</v>
      </c>
      <c r="T69" s="472"/>
      <c r="U69" s="472"/>
      <c r="V69" s="95"/>
      <c r="W69" s="96"/>
      <c r="X69" s="97"/>
      <c r="Y69" s="96" t="s">
        <v>113019</v>
      </c>
      <c r="Z69" s="579">
        <f t="shared" si="1"/>
        <v>0</v>
      </c>
    </row>
    <row r="70" spans="2:26" x14ac:dyDescent="0.2">
      <c r="B70" s="72" t="s">
        <v>105516</v>
      </c>
      <c r="C70" s="72" t="s">
        <v>105573</v>
      </c>
      <c r="D70" s="72" t="s">
        <v>105573</v>
      </c>
      <c r="E70" s="72" t="s">
        <v>105520</v>
      </c>
      <c r="F70" s="72" t="s">
        <v>105538</v>
      </c>
      <c r="G70" s="72" t="s">
        <v>105553</v>
      </c>
      <c r="H70" s="72"/>
      <c r="I70" s="72"/>
      <c r="J70" s="415"/>
      <c r="K70" s="72"/>
      <c r="L70" s="73"/>
      <c r="M70" s="74" t="s">
        <v>106685</v>
      </c>
      <c r="N70" s="75"/>
      <c r="O70" s="75"/>
      <c r="P70" s="76"/>
      <c r="Q70" s="76"/>
      <c r="R70" s="77">
        <f>R71+R73</f>
        <v>29800000</v>
      </c>
      <c r="S70" s="77">
        <f t="shared" ref="S70:U70" si="33">S71+S73</f>
        <v>64800000</v>
      </c>
      <c r="T70" s="77">
        <f t="shared" si="33"/>
        <v>30000000</v>
      </c>
      <c r="U70" s="77">
        <f t="shared" si="33"/>
        <v>35000000</v>
      </c>
      <c r="V70" s="77"/>
      <c r="W70" s="78"/>
      <c r="X70" s="78"/>
      <c r="Y70" s="72"/>
      <c r="Z70" s="579">
        <f t="shared" si="1"/>
        <v>200000</v>
      </c>
    </row>
    <row r="71" spans="2:26" s="14" customFormat="1" x14ac:dyDescent="0.2">
      <c r="B71" s="341" t="s">
        <v>105516</v>
      </c>
      <c r="C71" s="341" t="s">
        <v>105573</v>
      </c>
      <c r="D71" s="341" t="s">
        <v>105573</v>
      </c>
      <c r="E71" s="341" t="s">
        <v>105520</v>
      </c>
      <c r="F71" s="341" t="s">
        <v>105538</v>
      </c>
      <c r="G71" s="80" t="s">
        <v>105553</v>
      </c>
      <c r="H71" s="81" t="s">
        <v>105573</v>
      </c>
      <c r="I71" s="341"/>
      <c r="J71" s="341"/>
      <c r="K71" s="341"/>
      <c r="L71" s="340"/>
      <c r="M71" s="303" t="s">
        <v>106210</v>
      </c>
      <c r="N71" s="83"/>
      <c r="O71" s="442"/>
      <c r="P71" s="442"/>
      <c r="Q71" s="443"/>
      <c r="R71" s="443">
        <f>+R72</f>
        <v>0</v>
      </c>
      <c r="S71" s="443">
        <f t="shared" ref="S71:U71" si="34">+S72</f>
        <v>35000000</v>
      </c>
      <c r="T71" s="443">
        <f t="shared" si="34"/>
        <v>0</v>
      </c>
      <c r="U71" s="443">
        <f t="shared" si="34"/>
        <v>35000000</v>
      </c>
      <c r="V71" s="85"/>
      <c r="W71" s="86"/>
      <c r="X71" s="86"/>
      <c r="Y71" s="80"/>
      <c r="Z71" s="579">
        <f t="shared" ref="Z71:Z134" si="35">(T71+U71)-S71</f>
        <v>0</v>
      </c>
    </row>
    <row r="72" spans="2:26" s="21" customFormat="1" ht="30" x14ac:dyDescent="0.2">
      <c r="B72" s="88"/>
      <c r="C72" s="335"/>
      <c r="D72" s="335"/>
      <c r="E72" s="335"/>
      <c r="F72" s="335"/>
      <c r="G72" s="335"/>
      <c r="H72" s="335"/>
      <c r="I72" s="335"/>
      <c r="J72" s="90"/>
      <c r="K72" s="98" t="s">
        <v>106684</v>
      </c>
      <c r="L72" s="55"/>
      <c r="M72" s="92" t="s">
        <v>113507</v>
      </c>
      <c r="N72" s="93">
        <v>45684</v>
      </c>
      <c r="O72" s="441" t="s">
        <v>113037</v>
      </c>
      <c r="P72" s="441" t="s">
        <v>113045</v>
      </c>
      <c r="Q72" s="95" t="s">
        <v>113243</v>
      </c>
      <c r="R72" s="472"/>
      <c r="S72" s="95">
        <v>35000000</v>
      </c>
      <c r="T72" s="472">
        <v>0</v>
      </c>
      <c r="U72" s="472">
        <v>35000000</v>
      </c>
      <c r="V72" s="95"/>
      <c r="W72" s="96"/>
      <c r="X72" s="98"/>
      <c r="Y72" s="96" t="s">
        <v>113019</v>
      </c>
      <c r="Z72" s="579">
        <f t="shared" si="35"/>
        <v>0</v>
      </c>
    </row>
    <row r="73" spans="2:26" x14ac:dyDescent="0.2">
      <c r="B73" s="122" t="s">
        <v>105516</v>
      </c>
      <c r="C73" s="122" t="s">
        <v>105573</v>
      </c>
      <c r="D73" s="122" t="s">
        <v>105573</v>
      </c>
      <c r="E73" s="122" t="s">
        <v>105520</v>
      </c>
      <c r="F73" s="122" t="s">
        <v>105538</v>
      </c>
      <c r="G73" s="80" t="s">
        <v>105553</v>
      </c>
      <c r="H73" s="80" t="s">
        <v>106109</v>
      </c>
      <c r="I73" s="122"/>
      <c r="J73" s="418"/>
      <c r="K73" s="122"/>
      <c r="L73" s="108"/>
      <c r="M73" s="109" t="s">
        <v>106701</v>
      </c>
      <c r="N73" s="110"/>
      <c r="O73" s="110"/>
      <c r="P73" s="111"/>
      <c r="Q73" s="111"/>
      <c r="R73" s="112">
        <f>+R74</f>
        <v>29800000</v>
      </c>
      <c r="S73" s="112">
        <f t="shared" ref="S73:U73" si="36">+S74</f>
        <v>29800000</v>
      </c>
      <c r="T73" s="112">
        <f t="shared" si="36"/>
        <v>30000000</v>
      </c>
      <c r="U73" s="112">
        <f t="shared" si="36"/>
        <v>0</v>
      </c>
      <c r="V73" s="112"/>
      <c r="W73" s="113"/>
      <c r="X73" s="113"/>
      <c r="Y73" s="122"/>
      <c r="Z73" s="579">
        <f t="shared" si="35"/>
        <v>200000</v>
      </c>
    </row>
    <row r="74" spans="2:26" s="123" customFormat="1" x14ac:dyDescent="0.2">
      <c r="B74" s="88"/>
      <c r="C74" s="89"/>
      <c r="D74" s="89"/>
      <c r="E74" s="89"/>
      <c r="F74" s="89"/>
      <c r="G74" s="89"/>
      <c r="H74" s="89"/>
      <c r="I74" s="89"/>
      <c r="J74" s="89"/>
      <c r="K74" s="96" t="s">
        <v>106684</v>
      </c>
      <c r="L74" s="55"/>
      <c r="M74" s="92" t="s">
        <v>113049</v>
      </c>
      <c r="N74" s="93" t="s">
        <v>113031</v>
      </c>
      <c r="O74" s="93" t="s">
        <v>113031</v>
      </c>
      <c r="P74" s="93" t="s">
        <v>113031</v>
      </c>
      <c r="Q74" s="93" t="s">
        <v>113031</v>
      </c>
      <c r="R74" s="472">
        <v>29800000</v>
      </c>
      <c r="S74" s="95">
        <v>29800000</v>
      </c>
      <c r="T74" s="472">
        <v>30000000</v>
      </c>
      <c r="U74" s="472">
        <v>0</v>
      </c>
      <c r="V74" s="95"/>
      <c r="W74" s="96"/>
      <c r="X74" s="98"/>
      <c r="Y74" s="96"/>
      <c r="Z74" s="579">
        <f t="shared" si="35"/>
        <v>200000</v>
      </c>
    </row>
    <row r="75" spans="2:26" x14ac:dyDescent="0.2">
      <c r="B75" s="63" t="s">
        <v>105516</v>
      </c>
      <c r="C75" s="63" t="s">
        <v>105573</v>
      </c>
      <c r="D75" s="63" t="s">
        <v>105573</v>
      </c>
      <c r="E75" s="63" t="s">
        <v>105520</v>
      </c>
      <c r="F75" s="63" t="s">
        <v>105541</v>
      </c>
      <c r="G75" s="63"/>
      <c r="H75" s="63"/>
      <c r="I75" s="63"/>
      <c r="J75" s="414"/>
      <c r="K75" s="254"/>
      <c r="L75" s="65"/>
      <c r="M75" s="66" t="s">
        <v>106705</v>
      </c>
      <c r="N75" s="67"/>
      <c r="O75" s="67"/>
      <c r="P75" s="68"/>
      <c r="Q75" s="68"/>
      <c r="R75" s="69">
        <f>+R78+R81+R85+R92+R76</f>
        <v>418292748.48000002</v>
      </c>
      <c r="S75" s="69">
        <f t="shared" ref="S75:U75" si="37">+S78+S81+S85+S92+S76</f>
        <v>327000000</v>
      </c>
      <c r="T75" s="69">
        <f t="shared" si="37"/>
        <v>210000000</v>
      </c>
      <c r="U75" s="69">
        <f t="shared" si="37"/>
        <v>247000000</v>
      </c>
      <c r="V75" s="69"/>
      <c r="W75" s="70"/>
      <c r="X75" s="70"/>
      <c r="Y75" s="254"/>
      <c r="Z75" s="579">
        <f t="shared" si="35"/>
        <v>130000000</v>
      </c>
    </row>
    <row r="76" spans="2:26" ht="30" x14ac:dyDescent="0.2">
      <c r="B76" s="72" t="s">
        <v>105516</v>
      </c>
      <c r="C76" s="72" t="s">
        <v>105573</v>
      </c>
      <c r="D76" s="72" t="s">
        <v>105573</v>
      </c>
      <c r="E76" s="72" t="s">
        <v>105520</v>
      </c>
      <c r="F76" s="72" t="s">
        <v>105541</v>
      </c>
      <c r="G76" s="143" t="s">
        <v>105535</v>
      </c>
      <c r="H76" s="72"/>
      <c r="I76" s="72"/>
      <c r="J76" s="415"/>
      <c r="K76" s="72"/>
      <c r="L76" s="73"/>
      <c r="M76" s="305" t="s">
        <v>106709</v>
      </c>
      <c r="N76" s="75"/>
      <c r="O76" s="75"/>
      <c r="P76" s="76"/>
      <c r="Q76" s="76"/>
      <c r="R76" s="77">
        <f>SUM(R77:R77)</f>
        <v>20408075.170000002</v>
      </c>
      <c r="S76" s="77">
        <f t="shared" ref="S76:U76" si="38">SUM(S77:S77)</f>
        <v>20000000</v>
      </c>
      <c r="T76" s="77">
        <f t="shared" si="38"/>
        <v>20000000</v>
      </c>
      <c r="U76" s="77">
        <f t="shared" si="38"/>
        <v>0</v>
      </c>
      <c r="V76" s="77"/>
      <c r="W76" s="78"/>
      <c r="X76" s="78"/>
      <c r="Y76" s="72"/>
      <c r="Z76" s="579">
        <f t="shared" si="35"/>
        <v>0</v>
      </c>
    </row>
    <row r="77" spans="2:26" ht="60" x14ac:dyDescent="0.2">
      <c r="B77" s="88"/>
      <c r="C77" s="89"/>
      <c r="D77" s="89"/>
      <c r="E77" s="89"/>
      <c r="F77" s="89"/>
      <c r="G77" s="89"/>
      <c r="H77" s="89"/>
      <c r="I77" s="89"/>
      <c r="J77" s="89"/>
      <c r="K77" s="96" t="s">
        <v>106717</v>
      </c>
      <c r="L77" s="91" t="s">
        <v>113340</v>
      </c>
      <c r="M77" s="444" t="s">
        <v>113502</v>
      </c>
      <c r="N77" s="93">
        <v>45717</v>
      </c>
      <c r="O77" s="441" t="s">
        <v>113006</v>
      </c>
      <c r="P77" s="441" t="s">
        <v>113045</v>
      </c>
      <c r="Q77" s="95" t="s">
        <v>113052</v>
      </c>
      <c r="R77" s="472">
        <v>20408075.170000002</v>
      </c>
      <c r="S77" s="314">
        <v>20000000</v>
      </c>
      <c r="T77" s="472">
        <v>20000000</v>
      </c>
      <c r="U77" s="472">
        <v>0</v>
      </c>
      <c r="V77" s="95"/>
      <c r="W77" s="96"/>
      <c r="X77" s="97"/>
      <c r="Y77" s="96" t="s">
        <v>113019</v>
      </c>
      <c r="Z77" s="579">
        <f t="shared" si="35"/>
        <v>0</v>
      </c>
    </row>
    <row r="78" spans="2:26" x14ac:dyDescent="0.2">
      <c r="B78" s="72" t="s">
        <v>105516</v>
      </c>
      <c r="C78" s="72" t="s">
        <v>105573</v>
      </c>
      <c r="D78" s="72" t="s">
        <v>105573</v>
      </c>
      <c r="E78" s="72" t="s">
        <v>105520</v>
      </c>
      <c r="F78" s="72" t="s">
        <v>105541</v>
      </c>
      <c r="G78" s="72" t="s">
        <v>105541</v>
      </c>
      <c r="H78" s="72"/>
      <c r="I78" s="72"/>
      <c r="J78" s="415"/>
      <c r="K78" s="72"/>
      <c r="L78" s="73"/>
      <c r="M78" s="74" t="s">
        <v>106246</v>
      </c>
      <c r="N78" s="75"/>
      <c r="O78" s="75"/>
      <c r="P78" s="76"/>
      <c r="Q78" s="76"/>
      <c r="R78" s="77">
        <f>+R79</f>
        <v>65330564.829999998</v>
      </c>
      <c r="S78" s="77">
        <f t="shared" ref="S78:U79" si="39">+S79</f>
        <v>25000000</v>
      </c>
      <c r="T78" s="77">
        <f t="shared" si="39"/>
        <v>0</v>
      </c>
      <c r="U78" s="77">
        <f t="shared" si="39"/>
        <v>25000000</v>
      </c>
      <c r="V78" s="77"/>
      <c r="W78" s="78"/>
      <c r="X78" s="78"/>
      <c r="Y78" s="72"/>
      <c r="Z78" s="579">
        <f t="shared" si="35"/>
        <v>0</v>
      </c>
    </row>
    <row r="79" spans="2:26" x14ac:dyDescent="0.2">
      <c r="B79" s="80" t="s">
        <v>105516</v>
      </c>
      <c r="C79" s="80" t="s">
        <v>105573</v>
      </c>
      <c r="D79" s="80" t="s">
        <v>105573</v>
      </c>
      <c r="E79" s="80" t="s">
        <v>105520</v>
      </c>
      <c r="F79" s="80" t="s">
        <v>105541</v>
      </c>
      <c r="G79" s="80" t="s">
        <v>105541</v>
      </c>
      <c r="H79" s="80" t="s">
        <v>106109</v>
      </c>
      <c r="I79" s="80"/>
      <c r="J79" s="416"/>
      <c r="K79" s="80"/>
      <c r="L79" s="436"/>
      <c r="M79" s="304" t="s">
        <v>106262</v>
      </c>
      <c r="N79" s="83"/>
      <c r="O79" s="83"/>
      <c r="P79" s="84"/>
      <c r="Q79" s="84"/>
      <c r="R79" s="85">
        <f>+R80</f>
        <v>65330564.829999998</v>
      </c>
      <c r="S79" s="85">
        <f t="shared" si="39"/>
        <v>25000000</v>
      </c>
      <c r="T79" s="85">
        <f t="shared" si="39"/>
        <v>0</v>
      </c>
      <c r="U79" s="85">
        <f t="shared" si="39"/>
        <v>25000000</v>
      </c>
      <c r="V79" s="85"/>
      <c r="W79" s="86"/>
      <c r="X79" s="86"/>
      <c r="Y79" s="341"/>
      <c r="Z79" s="579">
        <f t="shared" si="35"/>
        <v>0</v>
      </c>
    </row>
    <row r="80" spans="2:26" ht="45" x14ac:dyDescent="0.2">
      <c r="B80" s="88"/>
      <c r="C80" s="89"/>
      <c r="D80" s="89"/>
      <c r="E80" s="89"/>
      <c r="F80" s="89"/>
      <c r="G80" s="89"/>
      <c r="H80" s="89"/>
      <c r="I80" s="89"/>
      <c r="J80" s="89"/>
      <c r="K80" s="96" t="s">
        <v>106717</v>
      </c>
      <c r="L80" s="91" t="s">
        <v>113244</v>
      </c>
      <c r="M80" s="102" t="s">
        <v>113713</v>
      </c>
      <c r="N80" s="440">
        <v>45839</v>
      </c>
      <c r="O80" s="441" t="s">
        <v>113010</v>
      </c>
      <c r="P80" s="441" t="s">
        <v>113155</v>
      </c>
      <c r="Q80" s="441" t="s">
        <v>113038</v>
      </c>
      <c r="R80" s="472">
        <v>65330564.829999998</v>
      </c>
      <c r="S80" s="314">
        <v>25000000</v>
      </c>
      <c r="T80" s="472">
        <v>0</v>
      </c>
      <c r="U80" s="472">
        <v>25000000</v>
      </c>
      <c r="V80" s="95"/>
      <c r="W80" s="96"/>
      <c r="X80" s="97"/>
      <c r="Y80" s="96" t="s">
        <v>113019</v>
      </c>
      <c r="Z80" s="579">
        <f t="shared" si="35"/>
        <v>0</v>
      </c>
    </row>
    <row r="81" spans="2:26" x14ac:dyDescent="0.2">
      <c r="B81" s="72" t="s">
        <v>105516</v>
      </c>
      <c r="C81" s="72" t="s">
        <v>105573</v>
      </c>
      <c r="D81" s="72" t="s">
        <v>105573</v>
      </c>
      <c r="E81" s="72" t="s">
        <v>105520</v>
      </c>
      <c r="F81" s="72" t="s">
        <v>105541</v>
      </c>
      <c r="G81" s="72" t="s">
        <v>105544</v>
      </c>
      <c r="H81" s="72"/>
      <c r="I81" s="72"/>
      <c r="J81" s="415"/>
      <c r="K81" s="72"/>
      <c r="L81" s="73"/>
      <c r="M81" s="74" t="s">
        <v>112995</v>
      </c>
      <c r="N81" s="75"/>
      <c r="O81" s="75"/>
      <c r="P81" s="76"/>
      <c r="Q81" s="76"/>
      <c r="R81" s="77">
        <f>+R82</f>
        <v>4224500</v>
      </c>
      <c r="S81" s="77">
        <f t="shared" ref="S81:U81" si="40">+S82</f>
        <v>10000000</v>
      </c>
      <c r="T81" s="77">
        <f t="shared" si="40"/>
        <v>10000000</v>
      </c>
      <c r="U81" s="77">
        <f t="shared" si="40"/>
        <v>0</v>
      </c>
      <c r="V81" s="77"/>
      <c r="W81" s="78"/>
      <c r="X81" s="78"/>
      <c r="Y81" s="72"/>
      <c r="Z81" s="579">
        <f t="shared" si="35"/>
        <v>0</v>
      </c>
    </row>
    <row r="82" spans="2:26" ht="30" x14ac:dyDescent="0.2">
      <c r="B82" s="80" t="s">
        <v>105516</v>
      </c>
      <c r="C82" s="80" t="s">
        <v>105573</v>
      </c>
      <c r="D82" s="80" t="s">
        <v>105573</v>
      </c>
      <c r="E82" s="80" t="s">
        <v>105520</v>
      </c>
      <c r="F82" s="80" t="s">
        <v>105541</v>
      </c>
      <c r="G82" s="80" t="s">
        <v>105544</v>
      </c>
      <c r="H82" s="80" t="s">
        <v>105520</v>
      </c>
      <c r="I82" s="80"/>
      <c r="J82" s="416"/>
      <c r="K82" s="80"/>
      <c r="L82" s="436"/>
      <c r="M82" s="304" t="s">
        <v>106266</v>
      </c>
      <c r="N82" s="83"/>
      <c r="O82" s="83"/>
      <c r="P82" s="84"/>
      <c r="Q82" s="84"/>
      <c r="R82" s="85">
        <f>SUM(R83:R84)</f>
        <v>4224500</v>
      </c>
      <c r="S82" s="85">
        <f t="shared" ref="S82:U82" si="41">SUM(S83:S84)</f>
        <v>10000000</v>
      </c>
      <c r="T82" s="85">
        <f t="shared" si="41"/>
        <v>10000000</v>
      </c>
      <c r="U82" s="85">
        <f t="shared" si="41"/>
        <v>0</v>
      </c>
      <c r="V82" s="85"/>
      <c r="W82" s="86"/>
      <c r="X82" s="86"/>
      <c r="Y82" s="341"/>
      <c r="Z82" s="579">
        <f t="shared" si="35"/>
        <v>0</v>
      </c>
    </row>
    <row r="83" spans="2:26" ht="45" x14ac:dyDescent="0.2">
      <c r="B83" s="88"/>
      <c r="C83" s="89"/>
      <c r="D83" s="89"/>
      <c r="E83" s="89"/>
      <c r="F83" s="89"/>
      <c r="G83" s="89"/>
      <c r="H83" s="89"/>
      <c r="I83" s="89"/>
      <c r="J83" s="89"/>
      <c r="K83" s="96" t="s">
        <v>106726</v>
      </c>
      <c r="L83" s="91">
        <v>43233200</v>
      </c>
      <c r="M83" s="102" t="s">
        <v>113427</v>
      </c>
      <c r="N83" s="93">
        <v>45666</v>
      </c>
      <c r="O83" s="93" t="s">
        <v>113037</v>
      </c>
      <c r="P83" s="94" t="s">
        <v>113040</v>
      </c>
      <c r="Q83" s="94" t="s">
        <v>113038</v>
      </c>
      <c r="R83" s="472">
        <v>4224500</v>
      </c>
      <c r="S83" s="314">
        <v>10000000</v>
      </c>
      <c r="T83" s="472">
        <v>10000000</v>
      </c>
      <c r="U83" s="472">
        <v>0</v>
      </c>
      <c r="V83" s="95"/>
      <c r="W83" s="96"/>
      <c r="X83" s="97"/>
      <c r="Y83" s="96" t="s">
        <v>113003</v>
      </c>
      <c r="Z83" s="579">
        <f t="shared" si="35"/>
        <v>0</v>
      </c>
    </row>
    <row r="84" spans="2:26" x14ac:dyDescent="0.2">
      <c r="B84" s="88"/>
      <c r="C84" s="89"/>
      <c r="D84" s="89"/>
      <c r="E84" s="89"/>
      <c r="F84" s="89"/>
      <c r="G84" s="89"/>
      <c r="H84" s="89"/>
      <c r="I84" s="89"/>
      <c r="J84" s="89"/>
      <c r="K84" s="96" t="s">
        <v>106726</v>
      </c>
      <c r="L84" s="91"/>
      <c r="M84" s="92"/>
      <c r="N84" s="93"/>
      <c r="O84" s="93"/>
      <c r="P84" s="94"/>
      <c r="Q84" s="94"/>
      <c r="R84" s="472"/>
      <c r="S84" s="95"/>
      <c r="T84" s="472"/>
      <c r="U84" s="472"/>
      <c r="V84" s="95"/>
      <c r="W84" s="96"/>
      <c r="X84" s="97"/>
      <c r="Y84" s="96"/>
      <c r="Z84" s="579">
        <f t="shared" si="35"/>
        <v>0</v>
      </c>
    </row>
    <row r="85" spans="2:26" x14ac:dyDescent="0.2">
      <c r="B85" s="72" t="s">
        <v>105516</v>
      </c>
      <c r="C85" s="72" t="s">
        <v>105573</v>
      </c>
      <c r="D85" s="72" t="s">
        <v>105573</v>
      </c>
      <c r="E85" s="72" t="s">
        <v>105520</v>
      </c>
      <c r="F85" s="72" t="s">
        <v>105541</v>
      </c>
      <c r="G85" s="72" t="s">
        <v>105550</v>
      </c>
      <c r="H85" s="72"/>
      <c r="I85" s="72"/>
      <c r="J85" s="415"/>
      <c r="K85" s="72"/>
      <c r="L85" s="73"/>
      <c r="M85" s="74" t="s">
        <v>106284</v>
      </c>
      <c r="N85" s="75"/>
      <c r="O85" s="75"/>
      <c r="P85" s="76"/>
      <c r="Q85" s="76"/>
      <c r="R85" s="77">
        <f>+R86</f>
        <v>318329608.48000002</v>
      </c>
      <c r="S85" s="77">
        <f t="shared" ref="S85:U85" si="42">+S86</f>
        <v>260000000</v>
      </c>
      <c r="T85" s="77">
        <f t="shared" si="42"/>
        <v>180000000</v>
      </c>
      <c r="U85" s="77">
        <f t="shared" si="42"/>
        <v>210000000</v>
      </c>
      <c r="V85" s="77"/>
      <c r="W85" s="78"/>
      <c r="X85" s="78"/>
      <c r="Y85" s="72"/>
      <c r="Z85" s="579">
        <f t="shared" si="35"/>
        <v>130000000</v>
      </c>
    </row>
    <row r="86" spans="2:26" x14ac:dyDescent="0.2">
      <c r="B86" s="80" t="s">
        <v>105516</v>
      </c>
      <c r="C86" s="80" t="s">
        <v>105573</v>
      </c>
      <c r="D86" s="80" t="s">
        <v>105573</v>
      </c>
      <c r="E86" s="80" t="s">
        <v>105520</v>
      </c>
      <c r="F86" s="80" t="s">
        <v>105541</v>
      </c>
      <c r="G86" s="80" t="s">
        <v>105550</v>
      </c>
      <c r="H86" s="80" t="s">
        <v>106106</v>
      </c>
      <c r="I86" s="80"/>
      <c r="J86" s="416"/>
      <c r="K86" s="80"/>
      <c r="L86" s="436"/>
      <c r="M86" s="82" t="s">
        <v>106408</v>
      </c>
      <c r="N86" s="83"/>
      <c r="O86" s="83"/>
      <c r="P86" s="84"/>
      <c r="Q86" s="84"/>
      <c r="R86" s="85">
        <f>SUM(R87:R91)</f>
        <v>318329608.48000002</v>
      </c>
      <c r="S86" s="85">
        <f t="shared" ref="S86:U86" si="43">SUM(S87:S91)</f>
        <v>260000000</v>
      </c>
      <c r="T86" s="85">
        <f t="shared" si="43"/>
        <v>180000000</v>
      </c>
      <c r="U86" s="85">
        <f t="shared" si="43"/>
        <v>210000000</v>
      </c>
      <c r="V86" s="85"/>
      <c r="W86" s="86"/>
      <c r="X86" s="86"/>
      <c r="Y86" s="341"/>
      <c r="Z86" s="579">
        <f t="shared" si="35"/>
        <v>130000000</v>
      </c>
    </row>
    <row r="87" spans="2:26" ht="45" x14ac:dyDescent="0.2">
      <c r="B87" s="88"/>
      <c r="C87" s="89"/>
      <c r="D87" s="89"/>
      <c r="E87" s="89"/>
      <c r="F87" s="89"/>
      <c r="G87" s="89"/>
      <c r="H87" s="89"/>
      <c r="I87" s="89"/>
      <c r="J87" s="89"/>
      <c r="K87" s="96" t="s">
        <v>106736</v>
      </c>
      <c r="L87" s="55">
        <v>43231500</v>
      </c>
      <c r="M87" s="92" t="s">
        <v>113428</v>
      </c>
      <c r="N87" s="93">
        <v>45886</v>
      </c>
      <c r="O87" s="93" t="s">
        <v>113078</v>
      </c>
      <c r="P87" s="94" t="s">
        <v>113045</v>
      </c>
      <c r="Q87" s="94" t="s">
        <v>112999</v>
      </c>
      <c r="R87" s="472">
        <v>110000000</v>
      </c>
      <c r="S87" s="314">
        <v>80000000</v>
      </c>
      <c r="T87" s="472">
        <v>0</v>
      </c>
      <c r="U87" s="472">
        <f>80000000+55000000</f>
        <v>135000000</v>
      </c>
      <c r="V87" s="95"/>
      <c r="W87" s="96"/>
      <c r="X87" s="97"/>
      <c r="Y87" s="96" t="s">
        <v>113003</v>
      </c>
      <c r="Z87" s="579">
        <f t="shared" si="35"/>
        <v>55000000</v>
      </c>
    </row>
    <row r="88" spans="2:26" ht="45" x14ac:dyDescent="0.2">
      <c r="B88" s="88"/>
      <c r="C88" s="89"/>
      <c r="D88" s="89"/>
      <c r="E88" s="89"/>
      <c r="F88" s="89"/>
      <c r="G88" s="89"/>
      <c r="H88" s="89"/>
      <c r="I88" s="89"/>
      <c r="J88" s="89"/>
      <c r="K88" s="96" t="s">
        <v>106736</v>
      </c>
      <c r="L88" s="91" t="s">
        <v>113429</v>
      </c>
      <c r="M88" s="92" t="s">
        <v>113430</v>
      </c>
      <c r="N88" s="93">
        <v>45705</v>
      </c>
      <c r="O88" s="93" t="s">
        <v>113001</v>
      </c>
      <c r="P88" s="94" t="s">
        <v>113040</v>
      </c>
      <c r="Q88" s="94" t="s">
        <v>112999</v>
      </c>
      <c r="R88" s="472">
        <v>151329608.47999999</v>
      </c>
      <c r="S88" s="314">
        <v>180000000</v>
      </c>
      <c r="T88" s="472">
        <v>180000000</v>
      </c>
      <c r="U88" s="472">
        <v>0</v>
      </c>
      <c r="V88" s="95"/>
      <c r="W88" s="96"/>
      <c r="X88" s="97"/>
      <c r="Y88" s="96" t="s">
        <v>113003</v>
      </c>
      <c r="Z88" s="579">
        <f t="shared" si="35"/>
        <v>0</v>
      </c>
    </row>
    <row r="89" spans="2:26" ht="30" x14ac:dyDescent="0.2">
      <c r="B89" s="88"/>
      <c r="C89" s="89"/>
      <c r="D89" s="89"/>
      <c r="E89" s="89"/>
      <c r="F89" s="89"/>
      <c r="G89" s="89"/>
      <c r="H89" s="89"/>
      <c r="I89" s="89"/>
      <c r="J89" s="89"/>
      <c r="K89" s="96" t="s">
        <v>106736</v>
      </c>
      <c r="L89" s="91">
        <v>43233200</v>
      </c>
      <c r="M89" s="102" t="s">
        <v>113245</v>
      </c>
      <c r="N89" s="93">
        <v>45306</v>
      </c>
      <c r="O89" s="93" t="s">
        <v>113037</v>
      </c>
      <c r="P89" s="94" t="s">
        <v>113022</v>
      </c>
      <c r="Q89" s="94" t="s">
        <v>113053</v>
      </c>
      <c r="R89" s="472">
        <v>18000000</v>
      </c>
      <c r="S89" s="95">
        <v>0</v>
      </c>
      <c r="T89" s="472">
        <v>0</v>
      </c>
      <c r="U89" s="472">
        <v>0</v>
      </c>
      <c r="V89" s="95"/>
      <c r="W89" s="103"/>
      <c r="X89" s="125"/>
      <c r="Y89" s="96"/>
      <c r="Z89" s="579">
        <f t="shared" si="35"/>
        <v>0</v>
      </c>
    </row>
    <row r="90" spans="2:26" ht="30" x14ac:dyDescent="0.2">
      <c r="B90" s="88"/>
      <c r="C90" s="89"/>
      <c r="D90" s="89"/>
      <c r="E90" s="89"/>
      <c r="F90" s="89"/>
      <c r="G90" s="89"/>
      <c r="H90" s="89"/>
      <c r="I90" s="89"/>
      <c r="J90" s="89"/>
      <c r="K90" s="96" t="s">
        <v>106736</v>
      </c>
      <c r="L90" s="91" t="s">
        <v>113342</v>
      </c>
      <c r="M90" s="92" t="s">
        <v>113694</v>
      </c>
      <c r="N90" s="93">
        <v>45580</v>
      </c>
      <c r="O90" s="93" t="s">
        <v>113070</v>
      </c>
      <c r="P90" s="94" t="s">
        <v>113045</v>
      </c>
      <c r="Q90" s="94" t="s">
        <v>113052</v>
      </c>
      <c r="R90" s="472">
        <v>35000000</v>
      </c>
      <c r="S90" s="95">
        <v>0</v>
      </c>
      <c r="T90" s="472">
        <v>0</v>
      </c>
      <c r="U90" s="472">
        <v>75000000</v>
      </c>
      <c r="V90" s="95"/>
      <c r="W90" s="126"/>
      <c r="X90" s="97"/>
      <c r="Y90" s="96"/>
      <c r="Z90" s="579">
        <f t="shared" si="35"/>
        <v>75000000</v>
      </c>
    </row>
    <row r="91" spans="2:26" ht="30" x14ac:dyDescent="0.2">
      <c r="B91" s="88"/>
      <c r="C91" s="89"/>
      <c r="D91" s="89"/>
      <c r="E91" s="89"/>
      <c r="F91" s="89"/>
      <c r="G91" s="89"/>
      <c r="H91" s="89"/>
      <c r="I91" s="89"/>
      <c r="J91" s="89"/>
      <c r="K91" s="96" t="s">
        <v>106736</v>
      </c>
      <c r="L91" s="55">
        <v>43231500</v>
      </c>
      <c r="M91" s="92" t="s">
        <v>113345</v>
      </c>
      <c r="N91" s="93"/>
      <c r="O91" s="93"/>
      <c r="P91" s="94"/>
      <c r="Q91" s="94" t="s">
        <v>113104</v>
      </c>
      <c r="R91" s="472">
        <v>4000000</v>
      </c>
      <c r="S91" s="95">
        <v>0</v>
      </c>
      <c r="T91" s="472">
        <v>0</v>
      </c>
      <c r="U91" s="472">
        <v>0</v>
      </c>
      <c r="V91" s="95"/>
      <c r="W91" s="96"/>
      <c r="X91" s="97"/>
      <c r="Y91" s="96"/>
      <c r="Z91" s="579">
        <f t="shared" si="35"/>
        <v>0</v>
      </c>
    </row>
    <row r="92" spans="2:26" ht="30" x14ac:dyDescent="0.2">
      <c r="B92" s="72" t="s">
        <v>105516</v>
      </c>
      <c r="C92" s="72" t="s">
        <v>105573</v>
      </c>
      <c r="D92" s="72" t="s">
        <v>105573</v>
      </c>
      <c r="E92" s="72" t="s">
        <v>105520</v>
      </c>
      <c r="F92" s="72" t="s">
        <v>105541</v>
      </c>
      <c r="G92" s="72" t="s">
        <v>105553</v>
      </c>
      <c r="H92" s="72"/>
      <c r="I92" s="72"/>
      <c r="J92" s="415"/>
      <c r="K92" s="72"/>
      <c r="L92" s="73"/>
      <c r="M92" s="74" t="s">
        <v>106300</v>
      </c>
      <c r="N92" s="75"/>
      <c r="O92" s="75"/>
      <c r="P92" s="76"/>
      <c r="Q92" s="76"/>
      <c r="R92" s="77">
        <f>+R93+R95</f>
        <v>10000000</v>
      </c>
      <c r="S92" s="77">
        <f t="shared" ref="S92:U92" si="44">+S93+S95</f>
        <v>12000000</v>
      </c>
      <c r="T92" s="77">
        <f t="shared" si="44"/>
        <v>0</v>
      </c>
      <c r="U92" s="77">
        <f t="shared" si="44"/>
        <v>12000000</v>
      </c>
      <c r="V92" s="77"/>
      <c r="W92" s="78"/>
      <c r="X92" s="78"/>
      <c r="Y92" s="72"/>
      <c r="Z92" s="579">
        <f t="shared" si="35"/>
        <v>0</v>
      </c>
    </row>
    <row r="93" spans="2:26" ht="60" x14ac:dyDescent="0.2">
      <c r="B93" s="80" t="s">
        <v>105516</v>
      </c>
      <c r="C93" s="80" t="s">
        <v>105573</v>
      </c>
      <c r="D93" s="80" t="s">
        <v>105573</v>
      </c>
      <c r="E93" s="80" t="s">
        <v>105520</v>
      </c>
      <c r="F93" s="80" t="s">
        <v>105541</v>
      </c>
      <c r="G93" s="80" t="s">
        <v>105553</v>
      </c>
      <c r="H93" s="80" t="s">
        <v>105573</v>
      </c>
      <c r="I93" s="80"/>
      <c r="J93" s="416"/>
      <c r="K93" s="80"/>
      <c r="L93" s="436"/>
      <c r="M93" s="82" t="s">
        <v>106304</v>
      </c>
      <c r="N93" s="83"/>
      <c r="O93" s="83"/>
      <c r="P93" s="84"/>
      <c r="Q93" s="84"/>
      <c r="R93" s="85">
        <f>+R94</f>
        <v>10000000</v>
      </c>
      <c r="S93" s="85">
        <f t="shared" ref="S93:U93" si="45">+S94</f>
        <v>12000000</v>
      </c>
      <c r="T93" s="85">
        <f t="shared" si="45"/>
        <v>0</v>
      </c>
      <c r="U93" s="85">
        <f t="shared" si="45"/>
        <v>12000000</v>
      </c>
      <c r="V93" s="85"/>
      <c r="W93" s="86"/>
      <c r="X93" s="86"/>
      <c r="Y93" s="341"/>
      <c r="Z93" s="579">
        <f t="shared" si="35"/>
        <v>0</v>
      </c>
    </row>
    <row r="94" spans="2:26" ht="150" x14ac:dyDescent="0.2">
      <c r="B94" s="88"/>
      <c r="C94" s="89"/>
      <c r="D94" s="89"/>
      <c r="E94" s="89"/>
      <c r="F94" s="89"/>
      <c r="G94" s="89"/>
      <c r="H94" s="89"/>
      <c r="I94" s="89"/>
      <c r="J94" s="89"/>
      <c r="K94" s="96" t="s">
        <v>106745</v>
      </c>
      <c r="L94" s="91" t="s">
        <v>113241</v>
      </c>
      <c r="M94" s="102" t="s">
        <v>113712</v>
      </c>
      <c r="N94" s="440">
        <v>45839</v>
      </c>
      <c r="O94" s="441" t="s">
        <v>113010</v>
      </c>
      <c r="P94" s="441" t="s">
        <v>113155</v>
      </c>
      <c r="Q94" s="441" t="s">
        <v>112999</v>
      </c>
      <c r="R94" s="472">
        <v>10000000</v>
      </c>
      <c r="S94" s="314">
        <v>12000000</v>
      </c>
      <c r="T94" s="472">
        <v>0</v>
      </c>
      <c r="U94" s="472">
        <v>12000000</v>
      </c>
      <c r="V94" s="95"/>
      <c r="W94" s="96"/>
      <c r="X94" s="97"/>
      <c r="Y94" s="96" t="s">
        <v>113019</v>
      </c>
      <c r="Z94" s="579">
        <f t="shared" si="35"/>
        <v>0</v>
      </c>
    </row>
    <row r="95" spans="2:26" ht="30" x14ac:dyDescent="0.2">
      <c r="B95" s="80" t="s">
        <v>105516</v>
      </c>
      <c r="C95" s="80" t="s">
        <v>105573</v>
      </c>
      <c r="D95" s="80" t="s">
        <v>105573</v>
      </c>
      <c r="E95" s="80" t="s">
        <v>105520</v>
      </c>
      <c r="F95" s="80" t="s">
        <v>105541</v>
      </c>
      <c r="G95" s="80" t="s">
        <v>105553</v>
      </c>
      <c r="H95" s="80" t="s">
        <v>105675</v>
      </c>
      <c r="I95" s="80"/>
      <c r="J95" s="416"/>
      <c r="K95" s="80"/>
      <c r="L95" s="436"/>
      <c r="M95" s="82" t="s">
        <v>106306</v>
      </c>
      <c r="N95" s="83"/>
      <c r="O95" s="83"/>
      <c r="P95" s="84"/>
      <c r="Q95" s="84"/>
      <c r="R95" s="85">
        <f>+R96</f>
        <v>0</v>
      </c>
      <c r="S95" s="85">
        <f t="shared" ref="S95:U95" si="46">+S96</f>
        <v>0</v>
      </c>
      <c r="T95" s="85">
        <f t="shared" si="46"/>
        <v>0</v>
      </c>
      <c r="U95" s="85">
        <f t="shared" si="46"/>
        <v>0</v>
      </c>
      <c r="V95" s="85"/>
      <c r="W95" s="86"/>
      <c r="X95" s="86"/>
      <c r="Y95" s="341"/>
      <c r="Z95" s="579">
        <f t="shared" si="35"/>
        <v>0</v>
      </c>
    </row>
    <row r="96" spans="2:26" x14ac:dyDescent="0.2">
      <c r="B96" s="88"/>
      <c r="C96" s="89"/>
      <c r="D96" s="89"/>
      <c r="E96" s="89"/>
      <c r="F96" s="89"/>
      <c r="G96" s="89"/>
      <c r="H96" s="89"/>
      <c r="I96" s="89"/>
      <c r="J96" s="89"/>
      <c r="K96" s="96"/>
      <c r="L96" s="127"/>
      <c r="M96" s="120"/>
      <c r="N96" s="121"/>
      <c r="O96" s="93"/>
      <c r="P96" s="94"/>
      <c r="Q96" s="94"/>
      <c r="R96" s="474"/>
      <c r="S96" s="95"/>
      <c r="T96" s="474"/>
      <c r="U96" s="474"/>
      <c r="V96" s="98"/>
      <c r="W96" s="398"/>
      <c r="X96" s="454"/>
      <c r="Y96" s="96"/>
      <c r="Z96" s="579">
        <f t="shared" si="35"/>
        <v>0</v>
      </c>
    </row>
    <row r="97" spans="2:26" x14ac:dyDescent="0.2">
      <c r="B97" s="54" t="s">
        <v>105516</v>
      </c>
      <c r="C97" s="54" t="s">
        <v>105573</v>
      </c>
      <c r="D97" s="54" t="s">
        <v>105573</v>
      </c>
      <c r="E97" s="54" t="s">
        <v>105573</v>
      </c>
      <c r="F97" s="54"/>
      <c r="G97" s="54"/>
      <c r="H97" s="54"/>
      <c r="I97" s="54"/>
      <c r="J97" s="413"/>
      <c r="K97" s="54"/>
      <c r="L97" s="55"/>
      <c r="M97" s="56" t="s">
        <v>106777</v>
      </c>
      <c r="N97" s="57"/>
      <c r="O97" s="57"/>
      <c r="P97" s="58"/>
      <c r="Q97" s="58"/>
      <c r="R97" s="59">
        <f>+R98+R109+R116+R203</f>
        <v>6718815220</v>
      </c>
      <c r="S97" s="59">
        <f t="shared" ref="S97:U97" si="47">+S98+S109+S116+S203</f>
        <v>3788989000</v>
      </c>
      <c r="T97" s="59">
        <f t="shared" si="47"/>
        <v>2574600000</v>
      </c>
      <c r="U97" s="59">
        <f t="shared" si="47"/>
        <v>1130000000</v>
      </c>
      <c r="V97" s="59"/>
      <c r="W97" s="60"/>
      <c r="X97" s="60"/>
      <c r="Y97" s="397"/>
      <c r="Z97" s="579">
        <f t="shared" si="35"/>
        <v>-84389000</v>
      </c>
    </row>
    <row r="98" spans="2:26" ht="75" customHeight="1" x14ac:dyDescent="0.2">
      <c r="B98" s="63" t="s">
        <v>105516</v>
      </c>
      <c r="C98" s="63" t="s">
        <v>105573</v>
      </c>
      <c r="D98" s="63" t="s">
        <v>105573</v>
      </c>
      <c r="E98" s="63" t="s">
        <v>105573</v>
      </c>
      <c r="F98" s="63" t="s">
        <v>105547</v>
      </c>
      <c r="G98" s="63"/>
      <c r="H98" s="63"/>
      <c r="I98" s="63"/>
      <c r="J98" s="414"/>
      <c r="K98" s="254"/>
      <c r="L98" s="65"/>
      <c r="M98" s="306" t="s">
        <v>113227</v>
      </c>
      <c r="N98" s="67"/>
      <c r="O98" s="67"/>
      <c r="P98" s="68"/>
      <c r="Q98" s="68"/>
      <c r="R98" s="69">
        <f>+R99+R103+R106</f>
        <v>612053720</v>
      </c>
      <c r="S98" s="69">
        <f t="shared" ref="S98:U98" si="48">+S99+S103+S106</f>
        <v>654500000</v>
      </c>
      <c r="T98" s="69">
        <f t="shared" si="48"/>
        <v>397600000</v>
      </c>
      <c r="U98" s="69">
        <f t="shared" si="48"/>
        <v>300000000</v>
      </c>
      <c r="V98" s="69"/>
      <c r="W98" s="70"/>
      <c r="X98" s="70"/>
      <c r="Y98" s="254"/>
      <c r="Z98" s="579">
        <f t="shared" si="35"/>
        <v>43100000</v>
      </c>
    </row>
    <row r="99" spans="2:26" x14ac:dyDescent="0.2">
      <c r="B99" s="72" t="s">
        <v>105516</v>
      </c>
      <c r="C99" s="72" t="s">
        <v>105573</v>
      </c>
      <c r="D99" s="72" t="s">
        <v>105573</v>
      </c>
      <c r="E99" s="72" t="s">
        <v>105573</v>
      </c>
      <c r="F99" s="72" t="s">
        <v>105547</v>
      </c>
      <c r="G99" s="72" t="s">
        <v>105541</v>
      </c>
      <c r="H99" s="72"/>
      <c r="I99" s="72"/>
      <c r="J99" s="415"/>
      <c r="K99" s="72"/>
      <c r="L99" s="73"/>
      <c r="M99" s="74" t="s">
        <v>106829</v>
      </c>
      <c r="N99" s="75"/>
      <c r="O99" s="75"/>
      <c r="P99" s="76"/>
      <c r="Q99" s="76"/>
      <c r="R99" s="77">
        <f>SUM(R100:R102)</f>
        <v>51000000</v>
      </c>
      <c r="S99" s="77">
        <f t="shared" ref="S99:U99" si="49">SUM(S100:S102)</f>
        <v>53000000</v>
      </c>
      <c r="T99" s="77">
        <f t="shared" si="49"/>
        <v>48000000</v>
      </c>
      <c r="U99" s="77">
        <f t="shared" si="49"/>
        <v>0</v>
      </c>
      <c r="V99" s="77"/>
      <c r="W99" s="78"/>
      <c r="X99" s="78"/>
      <c r="Y99" s="72"/>
      <c r="Z99" s="579">
        <f t="shared" si="35"/>
        <v>-5000000</v>
      </c>
    </row>
    <row r="100" spans="2:26" x14ac:dyDescent="0.2">
      <c r="B100" s="88"/>
      <c r="C100" s="89"/>
      <c r="D100" s="89"/>
      <c r="E100" s="89"/>
      <c r="F100" s="89"/>
      <c r="G100" s="89"/>
      <c r="H100" s="89"/>
      <c r="I100" s="89"/>
      <c r="J100" s="89"/>
      <c r="K100" s="96" t="s">
        <v>106828</v>
      </c>
      <c r="L100" s="91"/>
      <c r="M100" s="92" t="s">
        <v>113062</v>
      </c>
      <c r="N100" s="93" t="s">
        <v>113031</v>
      </c>
      <c r="O100" s="93" t="s">
        <v>113031</v>
      </c>
      <c r="P100" s="93" t="s">
        <v>113031</v>
      </c>
      <c r="Q100" s="93" t="s">
        <v>113031</v>
      </c>
      <c r="R100" s="472">
        <v>7000000</v>
      </c>
      <c r="S100" s="314">
        <v>7000000</v>
      </c>
      <c r="T100" s="472">
        <v>4000000</v>
      </c>
      <c r="U100" s="472">
        <v>0</v>
      </c>
      <c r="V100" s="95"/>
      <c r="W100" s="96"/>
      <c r="X100" s="97"/>
      <c r="Y100" s="96"/>
      <c r="Z100" s="579">
        <f t="shared" si="35"/>
        <v>-3000000</v>
      </c>
    </row>
    <row r="101" spans="2:26" ht="30" x14ac:dyDescent="0.2">
      <c r="B101" s="88"/>
      <c r="C101" s="89"/>
      <c r="D101" s="89"/>
      <c r="E101" s="89"/>
      <c r="F101" s="89"/>
      <c r="G101" s="89"/>
      <c r="H101" s="89"/>
      <c r="I101" s="89"/>
      <c r="J101" s="89"/>
      <c r="K101" s="96" t="s">
        <v>106828</v>
      </c>
      <c r="L101" s="91" t="s">
        <v>113250</v>
      </c>
      <c r="M101" s="92" t="s">
        <v>113059</v>
      </c>
      <c r="N101" s="93">
        <v>45660</v>
      </c>
      <c r="O101" s="93" t="s">
        <v>113060</v>
      </c>
      <c r="P101" s="94" t="s">
        <v>113011</v>
      </c>
      <c r="Q101" s="94" t="s">
        <v>113008</v>
      </c>
      <c r="R101" s="472">
        <v>40000000</v>
      </c>
      <c r="S101" s="314">
        <v>40000000</v>
      </c>
      <c r="T101" s="472">
        <v>40000000</v>
      </c>
      <c r="U101" s="472">
        <v>0</v>
      </c>
      <c r="V101" s="95"/>
      <c r="W101" s="96"/>
      <c r="X101" s="97"/>
      <c r="Y101" s="96" t="s">
        <v>113035</v>
      </c>
      <c r="Z101" s="579">
        <f t="shared" si="35"/>
        <v>0</v>
      </c>
    </row>
    <row r="102" spans="2:26" x14ac:dyDescent="0.2">
      <c r="B102" s="88"/>
      <c r="C102" s="89"/>
      <c r="D102" s="89"/>
      <c r="E102" s="89"/>
      <c r="F102" s="89"/>
      <c r="G102" s="89"/>
      <c r="H102" s="89"/>
      <c r="I102" s="89"/>
      <c r="J102" s="89"/>
      <c r="K102" s="96" t="s">
        <v>106828</v>
      </c>
      <c r="L102" s="127">
        <v>78111800</v>
      </c>
      <c r="M102" s="92" t="s">
        <v>113061</v>
      </c>
      <c r="N102" s="93">
        <v>45678</v>
      </c>
      <c r="O102" s="93" t="s">
        <v>113037</v>
      </c>
      <c r="P102" s="93" t="s">
        <v>113011</v>
      </c>
      <c r="Q102" s="93" t="s">
        <v>113052</v>
      </c>
      <c r="R102" s="472">
        <v>4000000</v>
      </c>
      <c r="S102" s="314">
        <v>6000000</v>
      </c>
      <c r="T102" s="472">
        <v>4000000</v>
      </c>
      <c r="U102" s="472">
        <v>0</v>
      </c>
      <c r="V102" s="95"/>
      <c r="W102" s="96"/>
      <c r="X102" s="97"/>
      <c r="Y102" s="96" t="s">
        <v>113035</v>
      </c>
      <c r="Z102" s="579">
        <f t="shared" si="35"/>
        <v>-2000000</v>
      </c>
    </row>
    <row r="103" spans="2:26" x14ac:dyDescent="0.2">
      <c r="B103" s="72" t="s">
        <v>105516</v>
      </c>
      <c r="C103" s="72" t="s">
        <v>105573</v>
      </c>
      <c r="D103" s="72" t="s">
        <v>105573</v>
      </c>
      <c r="E103" s="72" t="s">
        <v>105573</v>
      </c>
      <c r="F103" s="72" t="s">
        <v>105547</v>
      </c>
      <c r="G103" s="72" t="s">
        <v>105553</v>
      </c>
      <c r="H103" s="72"/>
      <c r="I103" s="72"/>
      <c r="J103" s="415"/>
      <c r="K103" s="72"/>
      <c r="L103" s="73"/>
      <c r="M103" s="74" t="s">
        <v>106857</v>
      </c>
      <c r="N103" s="75"/>
      <c r="O103" s="75"/>
      <c r="P103" s="76"/>
      <c r="Q103" s="76"/>
      <c r="R103" s="77">
        <f>SUM(R104:R105)</f>
        <v>12700000</v>
      </c>
      <c r="S103" s="77">
        <f t="shared" ref="S103:U103" si="50">SUM(S104:S105)</f>
        <v>1500000</v>
      </c>
      <c r="T103" s="77">
        <f t="shared" si="50"/>
        <v>1500000</v>
      </c>
      <c r="U103" s="77">
        <f t="shared" si="50"/>
        <v>0</v>
      </c>
      <c r="V103" s="77"/>
      <c r="W103" s="78"/>
      <c r="X103" s="78"/>
      <c r="Y103" s="72"/>
      <c r="Z103" s="579">
        <f t="shared" si="35"/>
        <v>0</v>
      </c>
    </row>
    <row r="104" spans="2:26" x14ac:dyDescent="0.2">
      <c r="B104" s="88"/>
      <c r="C104" s="89"/>
      <c r="D104" s="89"/>
      <c r="E104" s="89"/>
      <c r="F104" s="89"/>
      <c r="G104" s="89"/>
      <c r="H104" s="89"/>
      <c r="I104" s="89"/>
      <c r="J104" s="89"/>
      <c r="K104" s="96" t="s">
        <v>106856</v>
      </c>
      <c r="L104" s="55"/>
      <c r="M104" s="92" t="s">
        <v>113065</v>
      </c>
      <c r="N104" s="93" t="s">
        <v>113031</v>
      </c>
      <c r="O104" s="93" t="s">
        <v>113031</v>
      </c>
      <c r="P104" s="94" t="s">
        <v>113031</v>
      </c>
      <c r="Q104" s="93" t="s">
        <v>113031</v>
      </c>
      <c r="R104" s="472">
        <v>1500000</v>
      </c>
      <c r="S104" s="95">
        <v>1500000</v>
      </c>
      <c r="T104" s="472">
        <v>1500000</v>
      </c>
      <c r="U104" s="472">
        <v>0</v>
      </c>
      <c r="V104" s="95"/>
      <c r="W104" s="96"/>
      <c r="X104" s="97"/>
      <c r="Y104" s="96"/>
      <c r="Z104" s="579">
        <f t="shared" si="35"/>
        <v>0</v>
      </c>
    </row>
    <row r="105" spans="2:26" ht="30" x14ac:dyDescent="0.2">
      <c r="B105" s="88"/>
      <c r="C105" s="89"/>
      <c r="D105" s="89"/>
      <c r="E105" s="89"/>
      <c r="F105" s="89"/>
      <c r="G105" s="89"/>
      <c r="H105" s="89"/>
      <c r="I105" s="89"/>
      <c r="J105" s="89"/>
      <c r="K105" s="96" t="s">
        <v>106856</v>
      </c>
      <c r="L105" s="127"/>
      <c r="M105" s="92" t="s">
        <v>113063</v>
      </c>
      <c r="N105" s="93">
        <v>45332</v>
      </c>
      <c r="O105" s="93" t="s">
        <v>113037</v>
      </c>
      <c r="P105" s="94" t="s">
        <v>113011</v>
      </c>
      <c r="Q105" s="93" t="s">
        <v>113251</v>
      </c>
      <c r="R105" s="472">
        <v>11200000</v>
      </c>
      <c r="S105" s="95">
        <v>0</v>
      </c>
      <c r="T105" s="472">
        <v>0</v>
      </c>
      <c r="U105" s="472">
        <v>0</v>
      </c>
      <c r="V105" s="95"/>
      <c r="W105" s="96"/>
      <c r="X105" s="97"/>
      <c r="Y105" s="96"/>
      <c r="Z105" s="579">
        <f t="shared" si="35"/>
        <v>0</v>
      </c>
    </row>
    <row r="106" spans="2:26" ht="30" x14ac:dyDescent="0.2">
      <c r="B106" s="72" t="s">
        <v>105516</v>
      </c>
      <c r="C106" s="72" t="s">
        <v>105573</v>
      </c>
      <c r="D106" s="72" t="s">
        <v>105573</v>
      </c>
      <c r="E106" s="72" t="s">
        <v>105573</v>
      </c>
      <c r="F106" s="72" t="s">
        <v>105547</v>
      </c>
      <c r="G106" s="72" t="s">
        <v>105556</v>
      </c>
      <c r="H106" s="72"/>
      <c r="I106" s="72"/>
      <c r="J106" s="415"/>
      <c r="K106" s="72"/>
      <c r="L106" s="73"/>
      <c r="M106" s="74" t="s">
        <v>106859</v>
      </c>
      <c r="N106" s="75"/>
      <c r="O106" s="75"/>
      <c r="P106" s="76"/>
      <c r="Q106" s="76"/>
      <c r="R106" s="77">
        <f>SUM(R107)</f>
        <v>548353720</v>
      </c>
      <c r="S106" s="77">
        <f t="shared" ref="S106:U107" si="51">SUM(S107)</f>
        <v>600000000</v>
      </c>
      <c r="T106" s="77">
        <f t="shared" si="51"/>
        <v>348100000</v>
      </c>
      <c r="U106" s="77">
        <f t="shared" si="51"/>
        <v>300000000</v>
      </c>
      <c r="V106" s="77"/>
      <c r="W106" s="78"/>
      <c r="X106" s="78"/>
      <c r="Y106" s="72"/>
      <c r="Z106" s="579">
        <f t="shared" si="35"/>
        <v>48100000</v>
      </c>
    </row>
    <row r="107" spans="2:26" ht="30" x14ac:dyDescent="0.2">
      <c r="B107" s="80" t="s">
        <v>105516</v>
      </c>
      <c r="C107" s="80" t="s">
        <v>105573</v>
      </c>
      <c r="D107" s="80" t="s">
        <v>105573</v>
      </c>
      <c r="E107" s="80" t="s">
        <v>105573</v>
      </c>
      <c r="F107" s="80" t="s">
        <v>105547</v>
      </c>
      <c r="G107" s="80" t="s">
        <v>105556</v>
      </c>
      <c r="H107" s="80" t="s">
        <v>105520</v>
      </c>
      <c r="I107" s="80"/>
      <c r="J107" s="416"/>
      <c r="K107" s="80"/>
      <c r="L107" s="436"/>
      <c r="M107" s="82" t="s">
        <v>106861</v>
      </c>
      <c r="N107" s="83"/>
      <c r="O107" s="83"/>
      <c r="P107" s="84"/>
      <c r="Q107" s="84"/>
      <c r="R107" s="85">
        <f>SUM(R108)</f>
        <v>548353720</v>
      </c>
      <c r="S107" s="85">
        <f t="shared" si="51"/>
        <v>600000000</v>
      </c>
      <c r="T107" s="85">
        <f t="shared" si="51"/>
        <v>348100000</v>
      </c>
      <c r="U107" s="85">
        <f t="shared" si="51"/>
        <v>300000000</v>
      </c>
      <c r="V107" s="85"/>
      <c r="W107" s="86"/>
      <c r="X107" s="86"/>
      <c r="Y107" s="341"/>
      <c r="Z107" s="579">
        <f t="shared" si="35"/>
        <v>48100000</v>
      </c>
    </row>
    <row r="108" spans="2:26" ht="34.5" customHeight="1" x14ac:dyDescent="0.2">
      <c r="B108" s="88"/>
      <c r="C108" s="89"/>
      <c r="D108" s="89"/>
      <c r="E108" s="89"/>
      <c r="F108" s="89"/>
      <c r="G108" s="89"/>
      <c r="H108" s="89"/>
      <c r="I108" s="89"/>
      <c r="J108" s="89"/>
      <c r="K108" s="96" t="s">
        <v>106858</v>
      </c>
      <c r="L108" s="562"/>
      <c r="M108" s="92" t="s">
        <v>113066</v>
      </c>
      <c r="N108" s="93">
        <v>45659</v>
      </c>
      <c r="O108" s="93" t="s">
        <v>113060</v>
      </c>
      <c r="P108" s="94" t="s">
        <v>113011</v>
      </c>
      <c r="Q108" s="93" t="s">
        <v>113031</v>
      </c>
      <c r="R108" s="563">
        <v>548353720</v>
      </c>
      <c r="S108" s="314">
        <v>600000000</v>
      </c>
      <c r="T108" s="563">
        <f>492000000-143900000</f>
        <v>348100000</v>
      </c>
      <c r="U108" s="563">
        <v>300000000</v>
      </c>
      <c r="V108" s="95"/>
      <c r="W108" s="96"/>
      <c r="X108" s="129"/>
      <c r="Y108" s="96" t="s">
        <v>113064</v>
      </c>
      <c r="Z108" s="579">
        <f t="shared" si="35"/>
        <v>48100000</v>
      </c>
    </row>
    <row r="109" spans="2:26" ht="30" x14ac:dyDescent="0.2">
      <c r="B109" s="63" t="s">
        <v>105516</v>
      </c>
      <c r="C109" s="63" t="s">
        <v>105573</v>
      </c>
      <c r="D109" s="63" t="s">
        <v>105573</v>
      </c>
      <c r="E109" s="63" t="s">
        <v>105573</v>
      </c>
      <c r="F109" s="63" t="s">
        <v>105550</v>
      </c>
      <c r="G109" s="63"/>
      <c r="H109" s="63"/>
      <c r="I109" s="63"/>
      <c r="J109" s="414"/>
      <c r="K109" s="254"/>
      <c r="L109" s="65"/>
      <c r="M109" s="66" t="s">
        <v>106865</v>
      </c>
      <c r="N109" s="67"/>
      <c r="O109" s="67"/>
      <c r="P109" s="68"/>
      <c r="Q109" s="68"/>
      <c r="R109" s="69">
        <f>R110</f>
        <v>3283000000</v>
      </c>
      <c r="S109" s="69">
        <f t="shared" ref="S109:U110" si="52">S110</f>
        <v>10000000</v>
      </c>
      <c r="T109" s="69">
        <f>T110</f>
        <v>0</v>
      </c>
      <c r="U109" s="69">
        <f>U110</f>
        <v>10000000</v>
      </c>
      <c r="V109" s="69"/>
      <c r="W109" s="70"/>
      <c r="X109" s="70"/>
      <c r="Y109" s="254"/>
      <c r="Z109" s="579">
        <f t="shared" si="35"/>
        <v>0</v>
      </c>
    </row>
    <row r="110" spans="2:26" x14ac:dyDescent="0.2">
      <c r="B110" s="72" t="s">
        <v>105516</v>
      </c>
      <c r="C110" s="72" t="s">
        <v>105573</v>
      </c>
      <c r="D110" s="72" t="s">
        <v>105573</v>
      </c>
      <c r="E110" s="72" t="s">
        <v>105573</v>
      </c>
      <c r="F110" s="72" t="s">
        <v>105550</v>
      </c>
      <c r="G110" s="72" t="s">
        <v>105528</v>
      </c>
      <c r="H110" s="72"/>
      <c r="I110" s="72"/>
      <c r="J110" s="415"/>
      <c r="K110" s="72"/>
      <c r="L110" s="73"/>
      <c r="M110" s="74" t="s">
        <v>106867</v>
      </c>
      <c r="N110" s="75"/>
      <c r="O110" s="75"/>
      <c r="P110" s="76"/>
      <c r="Q110" s="76"/>
      <c r="R110" s="77">
        <f>R111</f>
        <v>3283000000</v>
      </c>
      <c r="S110" s="77">
        <f t="shared" si="52"/>
        <v>10000000</v>
      </c>
      <c r="T110" s="77">
        <f t="shared" si="52"/>
        <v>0</v>
      </c>
      <c r="U110" s="77">
        <f t="shared" si="52"/>
        <v>10000000</v>
      </c>
      <c r="V110" s="77"/>
      <c r="W110" s="78"/>
      <c r="X110" s="78"/>
      <c r="Y110" s="72"/>
      <c r="Z110" s="579">
        <f t="shared" si="35"/>
        <v>0</v>
      </c>
    </row>
    <row r="111" spans="2:26" ht="30" x14ac:dyDescent="0.2">
      <c r="B111" s="80" t="s">
        <v>105516</v>
      </c>
      <c r="C111" s="81" t="s">
        <v>105924</v>
      </c>
      <c r="D111" s="81" t="s">
        <v>105520</v>
      </c>
      <c r="E111" s="81" t="s">
        <v>105573</v>
      </c>
      <c r="F111" s="81" t="s">
        <v>105550</v>
      </c>
      <c r="G111" s="81" t="s">
        <v>105528</v>
      </c>
      <c r="H111" s="80" t="s">
        <v>105675</v>
      </c>
      <c r="I111" s="80" t="s">
        <v>106217</v>
      </c>
      <c r="J111" s="416"/>
      <c r="K111" s="81"/>
      <c r="L111" s="436"/>
      <c r="M111" s="304" t="s">
        <v>106892</v>
      </c>
      <c r="N111" s="83"/>
      <c r="O111" s="83"/>
      <c r="P111" s="84"/>
      <c r="Q111" s="84"/>
      <c r="R111" s="85">
        <f>R112+R114</f>
        <v>3283000000</v>
      </c>
      <c r="S111" s="85">
        <f t="shared" ref="S111:U111" si="53">S112+S114</f>
        <v>10000000</v>
      </c>
      <c r="T111" s="85">
        <f t="shared" si="53"/>
        <v>0</v>
      </c>
      <c r="U111" s="85">
        <f t="shared" si="53"/>
        <v>10000000</v>
      </c>
      <c r="V111" s="85"/>
      <c r="W111" s="86"/>
      <c r="X111" s="86"/>
      <c r="Y111" s="80"/>
      <c r="Z111" s="579">
        <f t="shared" si="35"/>
        <v>0</v>
      </c>
    </row>
    <row r="112" spans="2:26" ht="30" x14ac:dyDescent="0.2">
      <c r="B112" s="80" t="s">
        <v>105516</v>
      </c>
      <c r="C112" s="81" t="s">
        <v>105924</v>
      </c>
      <c r="D112" s="81" t="s">
        <v>105520</v>
      </c>
      <c r="E112" s="81" t="s">
        <v>105573</v>
      </c>
      <c r="F112" s="81" t="s">
        <v>105550</v>
      </c>
      <c r="G112" s="81" t="s">
        <v>105528</v>
      </c>
      <c r="H112" s="80" t="s">
        <v>105675</v>
      </c>
      <c r="I112" s="80" t="s">
        <v>106217</v>
      </c>
      <c r="J112" s="416" t="s">
        <v>105917</v>
      </c>
      <c r="K112" s="81"/>
      <c r="L112" s="436"/>
      <c r="M112" s="304" t="s">
        <v>106900</v>
      </c>
      <c r="N112" s="83"/>
      <c r="O112" s="83"/>
      <c r="P112" s="84"/>
      <c r="Q112" s="84"/>
      <c r="R112" s="85">
        <f>R113</f>
        <v>3273000000</v>
      </c>
      <c r="S112" s="85">
        <f t="shared" ref="S112:U112" si="54">S113</f>
        <v>0</v>
      </c>
      <c r="T112" s="85">
        <f t="shared" si="54"/>
        <v>0</v>
      </c>
      <c r="U112" s="85">
        <f t="shared" si="54"/>
        <v>0</v>
      </c>
      <c r="V112" s="85"/>
      <c r="W112" s="86"/>
      <c r="X112" s="86"/>
      <c r="Y112" s="80"/>
      <c r="Z112" s="579">
        <f t="shared" si="35"/>
        <v>0</v>
      </c>
    </row>
    <row r="113" spans="2:26" ht="30" x14ac:dyDescent="0.2">
      <c r="B113" s="194"/>
      <c r="C113" s="195"/>
      <c r="D113" s="195"/>
      <c r="E113" s="195"/>
      <c r="F113" s="195"/>
      <c r="G113" s="195"/>
      <c r="H113" s="195"/>
      <c r="I113" s="195"/>
      <c r="J113" s="195"/>
      <c r="K113" s="96" t="s">
        <v>112489</v>
      </c>
      <c r="L113" s="127" t="s">
        <v>113067</v>
      </c>
      <c r="M113" s="131" t="s">
        <v>106900</v>
      </c>
      <c r="N113" s="121">
        <v>45293</v>
      </c>
      <c r="O113" s="93" t="s">
        <v>113060</v>
      </c>
      <c r="P113" s="132" t="s">
        <v>113068</v>
      </c>
      <c r="Q113" s="132" t="s">
        <v>113069</v>
      </c>
      <c r="R113" s="472">
        <v>3273000000</v>
      </c>
      <c r="S113" s="95"/>
      <c r="T113" s="472">
        <v>0</v>
      </c>
      <c r="U113" s="472">
        <v>0</v>
      </c>
      <c r="V113" s="95"/>
      <c r="W113" s="96"/>
      <c r="X113" s="97"/>
      <c r="Y113" s="96"/>
      <c r="Z113" s="579">
        <f t="shared" si="35"/>
        <v>0</v>
      </c>
    </row>
    <row r="114" spans="2:26" ht="30" x14ac:dyDescent="0.2">
      <c r="B114" s="80" t="s">
        <v>105516</v>
      </c>
      <c r="C114" s="80" t="s">
        <v>105573</v>
      </c>
      <c r="D114" s="80" t="s">
        <v>105573</v>
      </c>
      <c r="E114" s="80" t="s">
        <v>105573</v>
      </c>
      <c r="F114" s="80" t="s">
        <v>105550</v>
      </c>
      <c r="G114" s="80" t="s">
        <v>105528</v>
      </c>
      <c r="H114" s="80" t="s">
        <v>105675</v>
      </c>
      <c r="I114" s="80" t="s">
        <v>106217</v>
      </c>
      <c r="J114" s="416" t="s">
        <v>106103</v>
      </c>
      <c r="K114" s="80"/>
      <c r="L114" s="436"/>
      <c r="M114" s="82" t="s">
        <v>106906</v>
      </c>
      <c r="N114" s="83"/>
      <c r="O114" s="83"/>
      <c r="P114" s="84"/>
      <c r="Q114" s="84"/>
      <c r="R114" s="85">
        <f>R115</f>
        <v>10000000</v>
      </c>
      <c r="S114" s="85">
        <f t="shared" ref="S114:U114" si="55">S115</f>
        <v>10000000</v>
      </c>
      <c r="T114" s="85">
        <f t="shared" si="55"/>
        <v>0</v>
      </c>
      <c r="U114" s="85">
        <f t="shared" si="55"/>
        <v>10000000</v>
      </c>
      <c r="V114" s="85"/>
      <c r="W114" s="86"/>
      <c r="X114" s="86"/>
      <c r="Y114" s="341"/>
      <c r="Z114" s="579">
        <f t="shared" si="35"/>
        <v>0</v>
      </c>
    </row>
    <row r="115" spans="2:26" ht="30" x14ac:dyDescent="0.2">
      <c r="B115" s="88"/>
      <c r="C115" s="89"/>
      <c r="D115" s="89"/>
      <c r="E115" s="89"/>
      <c r="F115" s="89"/>
      <c r="G115" s="89"/>
      <c r="H115" s="89"/>
      <c r="I115" s="89"/>
      <c r="J115" s="89"/>
      <c r="K115" s="96" t="s">
        <v>106866</v>
      </c>
      <c r="L115" s="127">
        <v>84131600</v>
      </c>
      <c r="M115" s="131" t="s">
        <v>106906</v>
      </c>
      <c r="N115" s="121">
        <v>45979</v>
      </c>
      <c r="O115" s="93" t="s">
        <v>113123</v>
      </c>
      <c r="P115" s="132" t="s">
        <v>113079</v>
      </c>
      <c r="Q115" s="132" t="s">
        <v>113052</v>
      </c>
      <c r="R115" s="472">
        <v>10000000</v>
      </c>
      <c r="S115" s="314">
        <v>10000000</v>
      </c>
      <c r="T115" s="472">
        <v>0</v>
      </c>
      <c r="U115" s="472">
        <v>10000000</v>
      </c>
      <c r="V115" s="95"/>
      <c r="W115" s="96"/>
      <c r="X115" s="97"/>
      <c r="Y115" s="96" t="s">
        <v>113035</v>
      </c>
      <c r="Z115" s="579">
        <f t="shared" si="35"/>
        <v>0</v>
      </c>
    </row>
    <row r="116" spans="2:26" ht="30" x14ac:dyDescent="0.2">
      <c r="B116" s="63" t="s">
        <v>105516</v>
      </c>
      <c r="C116" s="63" t="s">
        <v>105573</v>
      </c>
      <c r="D116" s="63" t="s">
        <v>105573</v>
      </c>
      <c r="E116" s="63" t="s">
        <v>105573</v>
      </c>
      <c r="F116" s="63" t="s">
        <v>105553</v>
      </c>
      <c r="G116" s="63"/>
      <c r="H116" s="63"/>
      <c r="I116" s="63"/>
      <c r="J116" s="414"/>
      <c r="K116" s="254"/>
      <c r="L116" s="65"/>
      <c r="M116" s="66" t="s">
        <v>106978</v>
      </c>
      <c r="N116" s="67"/>
      <c r="O116" s="67"/>
      <c r="P116" s="68"/>
      <c r="Q116" s="68"/>
      <c r="R116" s="69">
        <f>+R117+R123+R188+R176+R182</f>
        <v>2383975500</v>
      </c>
      <c r="S116" s="69">
        <f t="shared" ref="S116:U116" si="56">+S117+S123+S188+S176+S182</f>
        <v>2628489000</v>
      </c>
      <c r="T116" s="69">
        <f t="shared" si="56"/>
        <v>1822000000</v>
      </c>
      <c r="U116" s="69">
        <f t="shared" si="56"/>
        <v>679000000</v>
      </c>
      <c r="V116" s="69"/>
      <c r="W116" s="70"/>
      <c r="X116" s="70"/>
      <c r="Y116" s="254"/>
      <c r="Z116" s="579">
        <f t="shared" si="35"/>
        <v>-127489000</v>
      </c>
    </row>
    <row r="117" spans="2:26" x14ac:dyDescent="0.2">
      <c r="B117" s="72" t="s">
        <v>105516</v>
      </c>
      <c r="C117" s="72" t="s">
        <v>105573</v>
      </c>
      <c r="D117" s="72" t="s">
        <v>105573</v>
      </c>
      <c r="E117" s="72" t="s">
        <v>105573</v>
      </c>
      <c r="F117" s="72" t="s">
        <v>105553</v>
      </c>
      <c r="G117" s="72" t="s">
        <v>105535</v>
      </c>
      <c r="H117" s="72"/>
      <c r="I117" s="72"/>
      <c r="J117" s="415"/>
      <c r="K117" s="72"/>
      <c r="L117" s="73"/>
      <c r="M117" s="74" t="s">
        <v>106988</v>
      </c>
      <c r="N117" s="75"/>
      <c r="O117" s="75"/>
      <c r="P117" s="76"/>
      <c r="Q117" s="76"/>
      <c r="R117" s="77">
        <f>+R118</f>
        <v>178200000</v>
      </c>
      <c r="S117" s="77">
        <f t="shared" ref="S117:U117" si="57">+S118</f>
        <v>250800000</v>
      </c>
      <c r="T117" s="77">
        <f t="shared" si="57"/>
        <v>108000000</v>
      </c>
      <c r="U117" s="77">
        <f t="shared" si="57"/>
        <v>90000000</v>
      </c>
      <c r="V117" s="77"/>
      <c r="W117" s="78"/>
      <c r="X117" s="78"/>
      <c r="Y117" s="72"/>
      <c r="Z117" s="579">
        <f t="shared" si="35"/>
        <v>-52800000</v>
      </c>
    </row>
    <row r="118" spans="2:26" x14ac:dyDescent="0.2">
      <c r="B118" s="80" t="s">
        <v>105516</v>
      </c>
      <c r="C118" s="80" t="s">
        <v>105573</v>
      </c>
      <c r="D118" s="80" t="s">
        <v>105573</v>
      </c>
      <c r="E118" s="80" t="s">
        <v>105573</v>
      </c>
      <c r="F118" s="80" t="s">
        <v>105553</v>
      </c>
      <c r="G118" s="80" t="s">
        <v>105535</v>
      </c>
      <c r="H118" s="80" t="s">
        <v>105520</v>
      </c>
      <c r="I118" s="80"/>
      <c r="J118" s="416"/>
      <c r="K118" s="80"/>
      <c r="L118" s="436"/>
      <c r="M118" s="82" t="s">
        <v>106990</v>
      </c>
      <c r="N118" s="83"/>
      <c r="O118" s="83"/>
      <c r="P118" s="84"/>
      <c r="Q118" s="84"/>
      <c r="R118" s="85">
        <f>SUM(R119:R122)</f>
        <v>178200000</v>
      </c>
      <c r="S118" s="85">
        <f t="shared" ref="S118:U118" si="58">SUM(S119:S122)</f>
        <v>250800000</v>
      </c>
      <c r="T118" s="85">
        <f t="shared" si="58"/>
        <v>108000000</v>
      </c>
      <c r="U118" s="85">
        <f t="shared" si="58"/>
        <v>90000000</v>
      </c>
      <c r="V118" s="85"/>
      <c r="W118" s="86"/>
      <c r="X118" s="86"/>
      <c r="Y118" s="341"/>
      <c r="Z118" s="579">
        <f t="shared" si="35"/>
        <v>-52800000</v>
      </c>
    </row>
    <row r="119" spans="2:26" ht="128.25" customHeight="1" x14ac:dyDescent="0.2">
      <c r="B119" s="88"/>
      <c r="C119" s="89"/>
      <c r="D119" s="89"/>
      <c r="E119" s="89"/>
      <c r="F119" s="89"/>
      <c r="G119" s="89"/>
      <c r="H119" s="89"/>
      <c r="I119" s="89"/>
      <c r="J119" s="89"/>
      <c r="K119" s="96" t="s">
        <v>106987</v>
      </c>
      <c r="L119" s="91" t="s">
        <v>113252</v>
      </c>
      <c r="M119" s="92" t="s">
        <v>113753</v>
      </c>
      <c r="N119" s="93">
        <v>45666</v>
      </c>
      <c r="O119" s="93">
        <v>45666</v>
      </c>
      <c r="P119" s="94" t="s">
        <v>113200</v>
      </c>
      <c r="Q119" s="94" t="s">
        <v>113498</v>
      </c>
      <c r="R119" s="472">
        <v>51200000</v>
      </c>
      <c r="S119" s="498">
        <v>62700000</v>
      </c>
      <c r="T119" s="472">
        <f>6000000*6</f>
        <v>36000000</v>
      </c>
      <c r="U119" s="472">
        <f>6000000*5</f>
        <v>30000000</v>
      </c>
      <c r="V119" s="95"/>
      <c r="W119" s="126" t="s">
        <v>113031</v>
      </c>
      <c r="X119" s="96" t="s">
        <v>113031</v>
      </c>
      <c r="Y119" s="400" t="s">
        <v>113074</v>
      </c>
      <c r="Z119" s="579">
        <f t="shared" si="35"/>
        <v>3300000</v>
      </c>
    </row>
    <row r="120" spans="2:26" ht="84.75" customHeight="1" x14ac:dyDescent="0.2">
      <c r="B120" s="88"/>
      <c r="C120" s="89"/>
      <c r="D120" s="89"/>
      <c r="E120" s="89"/>
      <c r="F120" s="89"/>
      <c r="G120" s="89"/>
      <c r="H120" s="89"/>
      <c r="I120" s="89"/>
      <c r="J120" s="89"/>
      <c r="K120" s="96" t="s">
        <v>106987</v>
      </c>
      <c r="L120" s="91" t="s">
        <v>113252</v>
      </c>
      <c r="M120" s="92" t="s">
        <v>113752</v>
      </c>
      <c r="N120" s="93">
        <v>45666</v>
      </c>
      <c r="O120" s="93">
        <v>45666</v>
      </c>
      <c r="P120" s="94" t="s">
        <v>113200</v>
      </c>
      <c r="Q120" s="94" t="s">
        <v>113053</v>
      </c>
      <c r="R120" s="472">
        <v>63650000</v>
      </c>
      <c r="S120" s="498">
        <v>62700000</v>
      </c>
      <c r="T120" s="472">
        <f>6000000*6</f>
        <v>36000000</v>
      </c>
      <c r="U120" s="472">
        <f>6000000*5</f>
        <v>30000000</v>
      </c>
      <c r="V120" s="95"/>
      <c r="W120" s="126" t="s">
        <v>113031</v>
      </c>
      <c r="X120" s="96" t="s">
        <v>113031</v>
      </c>
      <c r="Y120" s="96" t="s">
        <v>113072</v>
      </c>
      <c r="Z120" s="579">
        <f t="shared" si="35"/>
        <v>3300000</v>
      </c>
    </row>
    <row r="121" spans="2:26" ht="90" customHeight="1" x14ac:dyDescent="0.2">
      <c r="B121" s="88"/>
      <c r="C121" s="89"/>
      <c r="D121" s="89"/>
      <c r="E121" s="89"/>
      <c r="F121" s="89"/>
      <c r="G121" s="89"/>
      <c r="H121" s="89"/>
      <c r="I121" s="89"/>
      <c r="J121" s="89"/>
      <c r="K121" s="96" t="s">
        <v>106987</v>
      </c>
      <c r="L121" s="91" t="s">
        <v>113252</v>
      </c>
      <c r="M121" s="92" t="s">
        <v>113754</v>
      </c>
      <c r="N121" s="93">
        <v>45666</v>
      </c>
      <c r="O121" s="93">
        <v>45666</v>
      </c>
      <c r="P121" s="94" t="s">
        <v>113200</v>
      </c>
      <c r="Q121" s="94" t="s">
        <v>113053</v>
      </c>
      <c r="R121" s="472">
        <v>63350000</v>
      </c>
      <c r="S121" s="498">
        <v>62700000</v>
      </c>
      <c r="T121" s="472">
        <f>6000000*6</f>
        <v>36000000</v>
      </c>
      <c r="U121" s="472">
        <f>6000000*5</f>
        <v>30000000</v>
      </c>
      <c r="V121" s="95"/>
      <c r="W121" s="126" t="s">
        <v>113031</v>
      </c>
      <c r="X121" s="96" t="s">
        <v>113031</v>
      </c>
      <c r="Y121" s="96" t="s">
        <v>113072</v>
      </c>
      <c r="Z121" s="579">
        <f t="shared" si="35"/>
        <v>3300000</v>
      </c>
    </row>
    <row r="122" spans="2:26" ht="135.75" customHeight="1" x14ac:dyDescent="0.2">
      <c r="B122" s="88"/>
      <c r="C122" s="89"/>
      <c r="D122" s="89"/>
      <c r="E122" s="89"/>
      <c r="F122" s="89"/>
      <c r="G122" s="89"/>
      <c r="H122" s="89"/>
      <c r="I122" s="89"/>
      <c r="J122" s="89"/>
      <c r="K122" s="96" t="s">
        <v>106987</v>
      </c>
      <c r="L122" s="91" t="s">
        <v>113252</v>
      </c>
      <c r="M122" s="92" t="s">
        <v>113500</v>
      </c>
      <c r="N122" s="93">
        <v>45666</v>
      </c>
      <c r="O122" s="93">
        <v>45666</v>
      </c>
      <c r="P122" s="94" t="s">
        <v>113200</v>
      </c>
      <c r="Q122" s="94" t="s">
        <v>113501</v>
      </c>
      <c r="R122" s="472"/>
      <c r="S122" s="515">
        <v>62700000</v>
      </c>
      <c r="T122" s="472"/>
      <c r="U122" s="578">
        <v>0</v>
      </c>
      <c r="V122" s="95"/>
      <c r="W122" s="126" t="s">
        <v>113031</v>
      </c>
      <c r="X122" s="96" t="s">
        <v>113031</v>
      </c>
      <c r="Y122" s="96" t="s">
        <v>113072</v>
      </c>
      <c r="Z122" s="579">
        <f t="shared" si="35"/>
        <v>-62700000</v>
      </c>
    </row>
    <row r="123" spans="2:26" ht="45" x14ac:dyDescent="0.2">
      <c r="B123" s="72" t="s">
        <v>105516</v>
      </c>
      <c r="C123" s="72" t="s">
        <v>105573</v>
      </c>
      <c r="D123" s="72" t="s">
        <v>105573</v>
      </c>
      <c r="E123" s="72" t="s">
        <v>105573</v>
      </c>
      <c r="F123" s="72" t="s">
        <v>105553</v>
      </c>
      <c r="G123" s="72" t="s">
        <v>105538</v>
      </c>
      <c r="H123" s="72"/>
      <c r="I123" s="72"/>
      <c r="J123" s="415"/>
      <c r="K123" s="72"/>
      <c r="L123" s="73"/>
      <c r="M123" s="305" t="s">
        <v>113228</v>
      </c>
      <c r="N123" s="75"/>
      <c r="O123" s="75"/>
      <c r="P123" s="76"/>
      <c r="Q123" s="76"/>
      <c r="R123" s="77">
        <f>+R124</f>
        <v>1880793772</v>
      </c>
      <c r="S123" s="77">
        <f t="shared" ref="S123:U123" si="59">+S124</f>
        <v>2112809000</v>
      </c>
      <c r="T123" s="77">
        <f t="shared" si="59"/>
        <v>1275400000</v>
      </c>
      <c r="U123" s="77">
        <f t="shared" si="59"/>
        <v>552000000</v>
      </c>
      <c r="V123" s="77"/>
      <c r="W123" s="78"/>
      <c r="X123" s="78"/>
      <c r="Y123" s="399"/>
      <c r="Z123" s="579">
        <f t="shared" si="35"/>
        <v>-285409000</v>
      </c>
    </row>
    <row r="124" spans="2:26" ht="30" x14ac:dyDescent="0.2">
      <c r="B124" s="80" t="s">
        <v>105516</v>
      </c>
      <c r="C124" s="80" t="s">
        <v>105573</v>
      </c>
      <c r="D124" s="80" t="s">
        <v>105573</v>
      </c>
      <c r="E124" s="80" t="s">
        <v>105573</v>
      </c>
      <c r="F124" s="80" t="s">
        <v>105553</v>
      </c>
      <c r="G124" s="80" t="s">
        <v>105538</v>
      </c>
      <c r="H124" s="80" t="s">
        <v>105520</v>
      </c>
      <c r="I124" s="80"/>
      <c r="J124" s="416"/>
      <c r="K124" s="80"/>
      <c r="L124" s="436"/>
      <c r="M124" s="304" t="s">
        <v>107000</v>
      </c>
      <c r="N124" s="83"/>
      <c r="O124" s="83"/>
      <c r="P124" s="84"/>
      <c r="Q124" s="84"/>
      <c r="R124" s="85">
        <f>+R125+R164+R166</f>
        <v>1880793772</v>
      </c>
      <c r="S124" s="85">
        <f t="shared" ref="S124:U124" si="60">+S125+S164+S166</f>
        <v>2112809000</v>
      </c>
      <c r="T124" s="85">
        <f t="shared" si="60"/>
        <v>1275400000</v>
      </c>
      <c r="U124" s="85">
        <f t="shared" si="60"/>
        <v>552000000</v>
      </c>
      <c r="V124" s="85"/>
      <c r="W124" s="86"/>
      <c r="X124" s="86"/>
      <c r="Y124" s="341"/>
      <c r="Z124" s="579">
        <f t="shared" si="35"/>
        <v>-285409000</v>
      </c>
    </row>
    <row r="125" spans="2:26" ht="30" x14ac:dyDescent="0.2">
      <c r="B125" s="80" t="s">
        <v>105516</v>
      </c>
      <c r="C125" s="80" t="s">
        <v>105573</v>
      </c>
      <c r="D125" s="80" t="s">
        <v>105573</v>
      </c>
      <c r="E125" s="80" t="s">
        <v>105573</v>
      </c>
      <c r="F125" s="80" t="s">
        <v>105553</v>
      </c>
      <c r="G125" s="80" t="s">
        <v>105538</v>
      </c>
      <c r="H125" s="80" t="s">
        <v>105520</v>
      </c>
      <c r="I125" s="80" t="s">
        <v>105576</v>
      </c>
      <c r="J125" s="418"/>
      <c r="K125" s="122"/>
      <c r="L125" s="108"/>
      <c r="M125" s="304" t="s">
        <v>107002</v>
      </c>
      <c r="N125" s="83"/>
      <c r="O125" s="83"/>
      <c r="P125" s="84"/>
      <c r="Q125" s="111"/>
      <c r="R125" s="85">
        <f>SUM(R126:R163)</f>
        <v>1768398106</v>
      </c>
      <c r="S125" s="85">
        <f t="shared" ref="S125:U125" si="61">SUM(S126:S163)</f>
        <v>1973900000</v>
      </c>
      <c r="T125" s="85">
        <f t="shared" si="61"/>
        <v>1189400000</v>
      </c>
      <c r="U125" s="85">
        <f t="shared" si="61"/>
        <v>495400000</v>
      </c>
      <c r="V125" s="85"/>
      <c r="W125" s="86"/>
      <c r="X125" s="86"/>
      <c r="Y125" s="341"/>
      <c r="Z125" s="579">
        <f t="shared" si="35"/>
        <v>-289100000</v>
      </c>
    </row>
    <row r="126" spans="2:26" ht="60" x14ac:dyDescent="0.2">
      <c r="B126" s="88"/>
      <c r="C126" s="89"/>
      <c r="D126" s="89"/>
      <c r="E126" s="89"/>
      <c r="F126" s="89"/>
      <c r="G126" s="89"/>
      <c r="H126" s="89"/>
      <c r="I126" s="89"/>
      <c r="J126" s="89"/>
      <c r="K126" s="96" t="s">
        <v>106997</v>
      </c>
      <c r="L126" s="55">
        <v>81101500</v>
      </c>
      <c r="M126" s="102" t="s">
        <v>113259</v>
      </c>
      <c r="N126" s="93">
        <v>45688</v>
      </c>
      <c r="O126" s="93" t="s">
        <v>113037</v>
      </c>
      <c r="P126" s="94" t="s">
        <v>113022</v>
      </c>
      <c r="Q126" s="94" t="s">
        <v>113258</v>
      </c>
      <c r="R126" s="475"/>
      <c r="S126" s="515">
        <v>41000000</v>
      </c>
      <c r="T126" s="475"/>
      <c r="U126" s="475">
        <v>0</v>
      </c>
      <c r="V126" s="104"/>
      <c r="W126" s="136"/>
      <c r="X126" s="136"/>
      <c r="Y126" s="400" t="s">
        <v>113080</v>
      </c>
      <c r="Z126" s="579">
        <f t="shared" si="35"/>
        <v>-41000000</v>
      </c>
    </row>
    <row r="127" spans="2:26" ht="75" x14ac:dyDescent="0.2">
      <c r="B127" s="88"/>
      <c r="C127" s="89"/>
      <c r="D127" s="89"/>
      <c r="E127" s="89"/>
      <c r="F127" s="89"/>
      <c r="G127" s="89"/>
      <c r="H127" s="89"/>
      <c r="I127" s="89"/>
      <c r="J127" s="89"/>
      <c r="K127" s="96" t="s">
        <v>106997</v>
      </c>
      <c r="L127" s="55">
        <v>81101500</v>
      </c>
      <c r="M127" s="102" t="s">
        <v>113419</v>
      </c>
      <c r="N127" s="93">
        <v>45688</v>
      </c>
      <c r="O127" s="93" t="s">
        <v>113037</v>
      </c>
      <c r="P127" s="94" t="s">
        <v>113022</v>
      </c>
      <c r="Q127" s="94" t="s">
        <v>113258</v>
      </c>
      <c r="R127" s="475"/>
      <c r="S127" s="515">
        <v>41000000</v>
      </c>
      <c r="T127" s="475">
        <v>25800000</v>
      </c>
      <c r="U127" s="475">
        <v>21500000</v>
      </c>
      <c r="V127" s="104"/>
      <c r="W127" s="136"/>
      <c r="X127" s="136"/>
      <c r="Y127" s="400" t="s">
        <v>113080</v>
      </c>
      <c r="Z127" s="579">
        <f t="shared" si="35"/>
        <v>6300000</v>
      </c>
    </row>
    <row r="128" spans="2:26" ht="72" customHeight="1" x14ac:dyDescent="0.2">
      <c r="B128" s="88"/>
      <c r="C128" s="89"/>
      <c r="D128" s="89"/>
      <c r="E128" s="89"/>
      <c r="F128" s="89"/>
      <c r="G128" s="89"/>
      <c r="H128" s="89"/>
      <c r="I128" s="89"/>
      <c r="J128" s="89"/>
      <c r="K128" s="96" t="s">
        <v>106997</v>
      </c>
      <c r="L128" s="55">
        <v>81101500</v>
      </c>
      <c r="M128" s="102" t="s">
        <v>113420</v>
      </c>
      <c r="N128" s="93">
        <v>45688</v>
      </c>
      <c r="O128" s="93" t="s">
        <v>113037</v>
      </c>
      <c r="P128" s="94" t="s">
        <v>113022</v>
      </c>
      <c r="Q128" s="94" t="s">
        <v>113258</v>
      </c>
      <c r="R128" s="475"/>
      <c r="S128" s="515">
        <v>41000000</v>
      </c>
      <c r="T128" s="475"/>
      <c r="U128" s="475">
        <v>0</v>
      </c>
      <c r="V128" s="104"/>
      <c r="W128" s="136"/>
      <c r="X128" s="136"/>
      <c r="Y128" s="400" t="s">
        <v>113080</v>
      </c>
      <c r="Z128" s="579">
        <f t="shared" si="35"/>
        <v>-41000000</v>
      </c>
    </row>
    <row r="129" spans="2:26" ht="48" customHeight="1" x14ac:dyDescent="0.2">
      <c r="B129" s="88"/>
      <c r="C129" s="89"/>
      <c r="D129" s="89"/>
      <c r="E129" s="89"/>
      <c r="F129" s="89"/>
      <c r="G129" s="89"/>
      <c r="H129" s="89"/>
      <c r="I129" s="89"/>
      <c r="J129" s="89"/>
      <c r="K129" s="96"/>
      <c r="L129" s="55">
        <v>81101500</v>
      </c>
      <c r="M129" s="102" t="s">
        <v>113727</v>
      </c>
      <c r="N129" s="93">
        <v>45322</v>
      </c>
      <c r="O129" s="93" t="s">
        <v>113037</v>
      </c>
      <c r="P129" s="94" t="s">
        <v>113022</v>
      </c>
      <c r="Q129" s="94" t="s">
        <v>113258</v>
      </c>
      <c r="R129" s="475">
        <v>0</v>
      </c>
      <c r="S129" s="391"/>
      <c r="T129" s="475">
        <v>0</v>
      </c>
      <c r="U129" s="475">
        <v>0</v>
      </c>
      <c r="V129" s="104"/>
      <c r="W129" s="136"/>
      <c r="X129" s="136"/>
      <c r="Y129" s="400" t="s">
        <v>113080</v>
      </c>
      <c r="Z129" s="579">
        <f t="shared" si="35"/>
        <v>0</v>
      </c>
    </row>
    <row r="130" spans="2:26" ht="105" x14ac:dyDescent="0.2">
      <c r="B130" s="88"/>
      <c r="C130" s="89"/>
      <c r="D130" s="89"/>
      <c r="E130" s="89"/>
      <c r="F130" s="89"/>
      <c r="G130" s="89"/>
      <c r="H130" s="89"/>
      <c r="I130" s="89"/>
      <c r="J130" s="89"/>
      <c r="K130" s="96"/>
      <c r="L130" s="55">
        <v>81101500</v>
      </c>
      <c r="M130" s="102" t="s">
        <v>113793</v>
      </c>
      <c r="N130" s="93">
        <v>45306</v>
      </c>
      <c r="O130" s="93" t="s">
        <v>113060</v>
      </c>
      <c r="P130" s="94" t="s">
        <v>113011</v>
      </c>
      <c r="Q130" s="94" t="s">
        <v>113258</v>
      </c>
      <c r="R130" s="475">
        <v>0</v>
      </c>
      <c r="S130" s="391"/>
      <c r="T130" s="475">
        <v>36000000</v>
      </c>
      <c r="U130" s="475">
        <v>30000000</v>
      </c>
      <c r="V130" s="104"/>
      <c r="W130" s="136"/>
      <c r="X130" s="136"/>
      <c r="Y130" s="400" t="s">
        <v>113080</v>
      </c>
      <c r="Z130" s="579">
        <f t="shared" si="35"/>
        <v>66000000</v>
      </c>
    </row>
    <row r="131" spans="2:26" ht="143.25" customHeight="1" x14ac:dyDescent="0.2">
      <c r="B131" s="88"/>
      <c r="C131" s="89"/>
      <c r="D131" s="89"/>
      <c r="E131" s="89"/>
      <c r="F131" s="89"/>
      <c r="G131" s="89"/>
      <c r="H131" s="89"/>
      <c r="I131" s="89"/>
      <c r="J131" s="89"/>
      <c r="K131" s="96" t="s">
        <v>106997</v>
      </c>
      <c r="L131" s="55">
        <v>80101500</v>
      </c>
      <c r="M131" s="92" t="s">
        <v>113755</v>
      </c>
      <c r="N131" s="93">
        <v>45677</v>
      </c>
      <c r="O131" s="93" t="s">
        <v>113037</v>
      </c>
      <c r="P131" s="94" t="s">
        <v>113011</v>
      </c>
      <c r="Q131" s="94" t="s">
        <v>113071</v>
      </c>
      <c r="R131" s="472">
        <v>34200000</v>
      </c>
      <c r="S131" s="498">
        <v>38000000</v>
      </c>
      <c r="T131" s="472">
        <v>0</v>
      </c>
      <c r="U131" s="472">
        <v>0</v>
      </c>
      <c r="V131" s="95"/>
      <c r="W131" s="133"/>
      <c r="X131" s="136"/>
      <c r="Y131" s="398" t="s">
        <v>113012</v>
      </c>
      <c r="Z131" s="579">
        <f t="shared" si="35"/>
        <v>-38000000</v>
      </c>
    </row>
    <row r="132" spans="2:26" ht="60" x14ac:dyDescent="0.2">
      <c r="B132" s="88"/>
      <c r="C132" s="89"/>
      <c r="D132" s="89"/>
      <c r="E132" s="89"/>
      <c r="F132" s="89"/>
      <c r="G132" s="89"/>
      <c r="H132" s="89"/>
      <c r="I132" s="89"/>
      <c r="J132" s="89"/>
      <c r="K132" s="96" t="s">
        <v>106997</v>
      </c>
      <c r="L132" s="91" t="s">
        <v>113509</v>
      </c>
      <c r="M132" s="102" t="s">
        <v>113510</v>
      </c>
      <c r="N132" s="440">
        <v>45839</v>
      </c>
      <c r="O132" s="441" t="s">
        <v>113010</v>
      </c>
      <c r="P132" s="133" t="s">
        <v>113007</v>
      </c>
      <c r="Q132" s="446" t="s">
        <v>113071</v>
      </c>
      <c r="R132" s="475">
        <v>15053143</v>
      </c>
      <c r="S132" s="559">
        <v>25000000</v>
      </c>
      <c r="T132" s="475">
        <v>0</v>
      </c>
      <c r="U132" s="475">
        <v>25000000</v>
      </c>
      <c r="V132" s="133"/>
      <c r="W132" s="133"/>
      <c r="X132" s="136"/>
      <c r="Y132" s="96" t="s">
        <v>113019</v>
      </c>
      <c r="Z132" s="579">
        <f t="shared" si="35"/>
        <v>0</v>
      </c>
    </row>
    <row r="133" spans="2:26" ht="75" x14ac:dyDescent="0.2">
      <c r="B133" s="88"/>
      <c r="C133" s="89"/>
      <c r="D133" s="89"/>
      <c r="E133" s="89"/>
      <c r="F133" s="89"/>
      <c r="G133" s="89"/>
      <c r="H133" s="89"/>
      <c r="I133" s="89"/>
      <c r="J133" s="89"/>
      <c r="K133" s="96"/>
      <c r="L133" s="204">
        <v>80101500</v>
      </c>
      <c r="M133" s="131" t="s">
        <v>113370</v>
      </c>
      <c r="N133" s="93">
        <v>45536</v>
      </c>
      <c r="O133" s="93" t="s">
        <v>113078</v>
      </c>
      <c r="P133" s="94" t="s">
        <v>112998</v>
      </c>
      <c r="Q133" s="94" t="s">
        <v>113095</v>
      </c>
      <c r="R133" s="475">
        <v>15000000</v>
      </c>
      <c r="S133" s="560"/>
      <c r="T133" s="475">
        <v>0</v>
      </c>
      <c r="U133" s="475">
        <v>0</v>
      </c>
      <c r="V133" s="133"/>
      <c r="W133" s="133"/>
      <c r="X133" s="136"/>
      <c r="Y133" s="96" t="s">
        <v>113019</v>
      </c>
      <c r="Z133" s="579">
        <f t="shared" si="35"/>
        <v>0</v>
      </c>
    </row>
    <row r="134" spans="2:26" ht="105" x14ac:dyDescent="0.2">
      <c r="B134" s="88"/>
      <c r="C134" s="89"/>
      <c r="D134" s="89"/>
      <c r="E134" s="89"/>
      <c r="F134" s="89"/>
      <c r="G134" s="89"/>
      <c r="H134" s="89"/>
      <c r="I134" s="89"/>
      <c r="J134" s="89"/>
      <c r="K134" s="96" t="s">
        <v>106997</v>
      </c>
      <c r="L134" s="55">
        <v>81111500</v>
      </c>
      <c r="M134" s="100" t="s">
        <v>113756</v>
      </c>
      <c r="N134" s="93">
        <v>45666</v>
      </c>
      <c r="O134" s="93" t="s">
        <v>113060</v>
      </c>
      <c r="P134" s="94" t="s">
        <v>113011</v>
      </c>
      <c r="Q134" s="94" t="s">
        <v>113053</v>
      </c>
      <c r="R134" s="472">
        <v>63650000</v>
      </c>
      <c r="S134" s="498">
        <v>62700000</v>
      </c>
      <c r="T134" s="472">
        <f>6000000*6</f>
        <v>36000000</v>
      </c>
      <c r="U134" s="472">
        <f>6000000*5</f>
        <v>30000000</v>
      </c>
      <c r="V134" s="95"/>
      <c r="W134" s="133"/>
      <c r="X134" s="136"/>
      <c r="Y134" s="96" t="s">
        <v>113003</v>
      </c>
      <c r="Z134" s="579">
        <f t="shared" si="35"/>
        <v>3300000</v>
      </c>
    </row>
    <row r="135" spans="2:26" ht="60" x14ac:dyDescent="0.2">
      <c r="B135" s="88"/>
      <c r="C135" s="89"/>
      <c r="D135" s="89"/>
      <c r="E135" s="89"/>
      <c r="F135" s="89"/>
      <c r="G135" s="89"/>
      <c r="H135" s="89"/>
      <c r="I135" s="89"/>
      <c r="J135" s="89"/>
      <c r="K135" s="96" t="s">
        <v>106997</v>
      </c>
      <c r="L135" s="55" t="s">
        <v>101349</v>
      </c>
      <c r="M135" s="92" t="s">
        <v>113757</v>
      </c>
      <c r="N135" s="93">
        <v>45677</v>
      </c>
      <c r="O135" s="93" t="s">
        <v>113037</v>
      </c>
      <c r="P135" s="94" t="s">
        <v>113002</v>
      </c>
      <c r="Q135" s="94" t="s">
        <v>113053</v>
      </c>
      <c r="R135" s="472">
        <v>40590000</v>
      </c>
      <c r="S135" s="498">
        <v>45100000</v>
      </c>
      <c r="T135" s="472">
        <f>4300000*6</f>
        <v>25800000</v>
      </c>
      <c r="U135" s="472">
        <f>4300000*5</f>
        <v>21500000</v>
      </c>
      <c r="V135" s="95"/>
      <c r="W135" s="133"/>
      <c r="X135" s="136"/>
      <c r="Y135" s="96" t="s">
        <v>113003</v>
      </c>
      <c r="Z135" s="579">
        <f t="shared" ref="Z135:Z198" si="62">(T135+U135)-S135</f>
        <v>2200000</v>
      </c>
    </row>
    <row r="136" spans="2:26" ht="75" x14ac:dyDescent="0.2">
      <c r="B136" s="88"/>
      <c r="C136" s="89"/>
      <c r="D136" s="89"/>
      <c r="E136" s="89"/>
      <c r="F136" s="89"/>
      <c r="G136" s="89"/>
      <c r="H136" s="89"/>
      <c r="I136" s="89"/>
      <c r="J136" s="89"/>
      <c r="K136" s="96" t="s">
        <v>106997</v>
      </c>
      <c r="L136" s="55">
        <v>81111500</v>
      </c>
      <c r="M136" s="92" t="s">
        <v>113758</v>
      </c>
      <c r="N136" s="93">
        <v>45666</v>
      </c>
      <c r="O136" s="93" t="s">
        <v>113037</v>
      </c>
      <c r="P136" s="94" t="s">
        <v>113011</v>
      </c>
      <c r="Q136" s="94" t="s">
        <v>113053</v>
      </c>
      <c r="R136" s="472">
        <v>83200000</v>
      </c>
      <c r="S136" s="498">
        <v>99000000</v>
      </c>
      <c r="T136" s="472">
        <f>9000000*6</f>
        <v>54000000</v>
      </c>
      <c r="U136" s="472">
        <f>9000000*5</f>
        <v>45000000</v>
      </c>
      <c r="V136" s="95"/>
      <c r="W136" s="133"/>
      <c r="X136" s="136"/>
      <c r="Y136" s="96" t="s">
        <v>113003</v>
      </c>
      <c r="Z136" s="579">
        <f t="shared" si="62"/>
        <v>0</v>
      </c>
    </row>
    <row r="137" spans="2:26" ht="60" x14ac:dyDescent="0.2">
      <c r="B137" s="88"/>
      <c r="C137" s="89"/>
      <c r="D137" s="89"/>
      <c r="E137" s="89"/>
      <c r="F137" s="89"/>
      <c r="G137" s="89"/>
      <c r="H137" s="89"/>
      <c r="I137" s="89"/>
      <c r="J137" s="89"/>
      <c r="K137" s="96" t="s">
        <v>106997</v>
      </c>
      <c r="L137" s="55">
        <v>81111500</v>
      </c>
      <c r="M137" s="92" t="s">
        <v>113791</v>
      </c>
      <c r="N137" s="93">
        <v>45666</v>
      </c>
      <c r="O137" s="93" t="s">
        <v>113037</v>
      </c>
      <c r="P137" s="94" t="s">
        <v>113011</v>
      </c>
      <c r="Q137" s="94" t="s">
        <v>113053</v>
      </c>
      <c r="R137" s="472">
        <v>65235669.5</v>
      </c>
      <c r="S137" s="498">
        <v>93500000</v>
      </c>
      <c r="T137" s="472">
        <f>8500000*6</f>
        <v>51000000</v>
      </c>
      <c r="U137" s="472">
        <f>8500000*5</f>
        <v>42500000</v>
      </c>
      <c r="V137" s="95"/>
      <c r="W137" s="133"/>
      <c r="X137" s="136"/>
      <c r="Y137" s="96" t="s">
        <v>113003</v>
      </c>
      <c r="Z137" s="579">
        <f t="shared" si="62"/>
        <v>0</v>
      </c>
    </row>
    <row r="138" spans="2:26" ht="75" x14ac:dyDescent="0.2">
      <c r="B138" s="88"/>
      <c r="C138" s="89"/>
      <c r="D138" s="89"/>
      <c r="E138" s="89"/>
      <c r="F138" s="89"/>
      <c r="G138" s="89"/>
      <c r="H138" s="89"/>
      <c r="I138" s="89"/>
      <c r="J138" s="89"/>
      <c r="K138" s="96" t="s">
        <v>106997</v>
      </c>
      <c r="L138" s="55">
        <v>43232407</v>
      </c>
      <c r="M138" s="92" t="s">
        <v>113759</v>
      </c>
      <c r="N138" s="93">
        <v>45679</v>
      </c>
      <c r="O138" s="93" t="s">
        <v>113037</v>
      </c>
      <c r="P138" s="94" t="s">
        <v>113002</v>
      </c>
      <c r="Q138" s="94" t="s">
        <v>113053</v>
      </c>
      <c r="R138" s="472">
        <v>34200000</v>
      </c>
      <c r="S138" s="498">
        <v>28500000</v>
      </c>
      <c r="T138" s="472">
        <f>6000000*6</f>
        <v>36000000</v>
      </c>
      <c r="U138" s="472">
        <v>0</v>
      </c>
      <c r="V138" s="95"/>
      <c r="W138" s="133"/>
      <c r="X138" s="136"/>
      <c r="Y138" s="96" t="s">
        <v>113003</v>
      </c>
      <c r="Z138" s="579">
        <f t="shared" si="62"/>
        <v>7500000</v>
      </c>
    </row>
    <row r="139" spans="2:26" ht="75" x14ac:dyDescent="0.2">
      <c r="B139" s="88"/>
      <c r="C139" s="89"/>
      <c r="D139" s="89"/>
      <c r="E139" s="89"/>
      <c r="F139" s="89"/>
      <c r="G139" s="89"/>
      <c r="H139" s="89"/>
      <c r="I139" s="89"/>
      <c r="J139" s="89"/>
      <c r="K139" s="96" t="s">
        <v>106997</v>
      </c>
      <c r="L139" s="55">
        <v>81111500</v>
      </c>
      <c r="M139" s="102" t="s">
        <v>113760</v>
      </c>
      <c r="N139" s="93">
        <v>45679</v>
      </c>
      <c r="O139" s="93" t="s">
        <v>113037</v>
      </c>
      <c r="P139" s="94" t="s">
        <v>113002</v>
      </c>
      <c r="Q139" s="94" t="s">
        <v>113053</v>
      </c>
      <c r="R139" s="472">
        <v>37500000</v>
      </c>
      <c r="S139" s="498">
        <v>42000000</v>
      </c>
      <c r="T139" s="472">
        <f>7700000*6</f>
        <v>46200000</v>
      </c>
      <c r="U139" s="472">
        <v>0</v>
      </c>
      <c r="V139" s="95"/>
      <c r="W139" s="133"/>
      <c r="X139" s="136"/>
      <c r="Y139" s="96" t="s">
        <v>113003</v>
      </c>
      <c r="Z139" s="579">
        <f t="shared" si="62"/>
        <v>4200000</v>
      </c>
    </row>
    <row r="140" spans="2:26" ht="75" x14ac:dyDescent="0.2">
      <c r="B140" s="88"/>
      <c r="C140" s="89"/>
      <c r="D140" s="89"/>
      <c r="E140" s="89"/>
      <c r="F140" s="89"/>
      <c r="G140" s="89"/>
      <c r="H140" s="89"/>
      <c r="I140" s="89"/>
      <c r="J140" s="89"/>
      <c r="K140" s="96" t="s">
        <v>106997</v>
      </c>
      <c r="L140" s="55">
        <v>81111500</v>
      </c>
      <c r="M140" s="102" t="s">
        <v>113761</v>
      </c>
      <c r="N140" s="93">
        <v>45679</v>
      </c>
      <c r="O140" s="93" t="s">
        <v>113037</v>
      </c>
      <c r="P140" s="94" t="s">
        <v>113002</v>
      </c>
      <c r="Q140" s="94" t="s">
        <v>113053</v>
      </c>
      <c r="R140" s="472">
        <v>15000000</v>
      </c>
      <c r="S140" s="498">
        <v>42000000</v>
      </c>
      <c r="T140" s="472">
        <f>7700000*6</f>
        <v>46200000</v>
      </c>
      <c r="U140" s="472">
        <v>0</v>
      </c>
      <c r="V140" s="95"/>
      <c r="W140" s="133"/>
      <c r="X140" s="136"/>
      <c r="Y140" s="96" t="s">
        <v>113003</v>
      </c>
      <c r="Z140" s="579">
        <f t="shared" si="62"/>
        <v>4200000</v>
      </c>
    </row>
    <row r="141" spans="2:26" ht="60" x14ac:dyDescent="0.2">
      <c r="B141" s="88"/>
      <c r="C141" s="89"/>
      <c r="D141" s="89"/>
      <c r="E141" s="89"/>
      <c r="F141" s="89"/>
      <c r="G141" s="89"/>
      <c r="H141" s="89"/>
      <c r="I141" s="89"/>
      <c r="J141" s="89"/>
      <c r="K141" s="96" t="s">
        <v>106997</v>
      </c>
      <c r="L141" s="55">
        <v>81111500</v>
      </c>
      <c r="M141" s="92" t="s">
        <v>113792</v>
      </c>
      <c r="N141" s="93">
        <v>45679</v>
      </c>
      <c r="O141" s="93" t="s">
        <v>113037</v>
      </c>
      <c r="P141" s="94" t="s">
        <v>113002</v>
      </c>
      <c r="Q141" s="94" t="s">
        <v>113053</v>
      </c>
      <c r="R141" s="472">
        <v>40000000</v>
      </c>
      <c r="S141" s="498">
        <v>45000000</v>
      </c>
      <c r="T141" s="472">
        <f>7700000*6</f>
        <v>46200000</v>
      </c>
      <c r="U141" s="472">
        <v>0</v>
      </c>
      <c r="V141" s="95"/>
      <c r="W141" s="133"/>
      <c r="X141" s="136"/>
      <c r="Y141" s="96" t="s">
        <v>113003</v>
      </c>
      <c r="Z141" s="579">
        <f t="shared" si="62"/>
        <v>1200000</v>
      </c>
    </row>
    <row r="142" spans="2:26" ht="75" x14ac:dyDescent="0.2">
      <c r="B142" s="88"/>
      <c r="C142" s="89"/>
      <c r="D142" s="89"/>
      <c r="E142" s="89"/>
      <c r="F142" s="89"/>
      <c r="G142" s="89"/>
      <c r="H142" s="89"/>
      <c r="I142" s="89"/>
      <c r="J142" s="89"/>
      <c r="K142" s="96" t="s">
        <v>106997</v>
      </c>
      <c r="L142" s="55">
        <v>81111500</v>
      </c>
      <c r="M142" s="92" t="s">
        <v>113762</v>
      </c>
      <c r="N142" s="93">
        <v>45679</v>
      </c>
      <c r="O142" s="93" t="s">
        <v>113037</v>
      </c>
      <c r="P142" s="94" t="s">
        <v>113002</v>
      </c>
      <c r="Q142" s="94" t="s">
        <v>113053</v>
      </c>
      <c r="R142" s="472">
        <v>40000000</v>
      </c>
      <c r="S142" s="498">
        <v>45000000</v>
      </c>
      <c r="T142" s="472">
        <f>7700000*6</f>
        <v>46200000</v>
      </c>
      <c r="U142" s="472">
        <v>0</v>
      </c>
      <c r="V142" s="95"/>
      <c r="W142" s="133"/>
      <c r="X142" s="136"/>
      <c r="Y142" s="96" t="s">
        <v>113003</v>
      </c>
      <c r="Z142" s="579">
        <f t="shared" si="62"/>
        <v>1200000</v>
      </c>
    </row>
    <row r="143" spans="2:26" ht="75" x14ac:dyDescent="0.2">
      <c r="B143" s="88"/>
      <c r="C143" s="89"/>
      <c r="D143" s="89"/>
      <c r="E143" s="89"/>
      <c r="F143" s="89"/>
      <c r="G143" s="89"/>
      <c r="H143" s="89"/>
      <c r="I143" s="89"/>
      <c r="J143" s="89"/>
      <c r="K143" s="96" t="s">
        <v>106997</v>
      </c>
      <c r="L143" s="91">
        <v>81112103</v>
      </c>
      <c r="M143" s="100" t="s">
        <v>113763</v>
      </c>
      <c r="N143" s="93">
        <v>45824</v>
      </c>
      <c r="O143" s="93" t="s">
        <v>112997</v>
      </c>
      <c r="P143" s="94" t="s">
        <v>112998</v>
      </c>
      <c r="Q143" s="94" t="s">
        <v>113053</v>
      </c>
      <c r="R143" s="472"/>
      <c r="S143" s="498">
        <v>16400000</v>
      </c>
      <c r="T143" s="472"/>
      <c r="U143" s="472">
        <f>4300000*3</f>
        <v>12900000</v>
      </c>
      <c r="V143" s="95"/>
      <c r="W143" s="133"/>
      <c r="X143" s="136"/>
      <c r="Y143" s="96" t="s">
        <v>113003</v>
      </c>
      <c r="Z143" s="579">
        <f t="shared" si="62"/>
        <v>-3500000</v>
      </c>
    </row>
    <row r="144" spans="2:26" ht="60" x14ac:dyDescent="0.2">
      <c r="B144" s="88"/>
      <c r="C144" s="89"/>
      <c r="D144" s="89"/>
      <c r="E144" s="89"/>
      <c r="F144" s="89"/>
      <c r="G144" s="89"/>
      <c r="H144" s="89"/>
      <c r="I144" s="89"/>
      <c r="J144" s="89"/>
      <c r="K144" s="96" t="s">
        <v>106997</v>
      </c>
      <c r="L144" s="91" t="s">
        <v>113084</v>
      </c>
      <c r="M144" s="102" t="s">
        <v>113438</v>
      </c>
      <c r="N144" s="93">
        <v>45672</v>
      </c>
      <c r="O144" s="93" t="s">
        <v>113037</v>
      </c>
      <c r="P144" s="94" t="s">
        <v>113022</v>
      </c>
      <c r="Q144" s="94" t="s">
        <v>112999</v>
      </c>
      <c r="R144" s="472">
        <v>37388987.829999998</v>
      </c>
      <c r="S144" s="498">
        <v>80000000</v>
      </c>
      <c r="T144" s="582">
        <v>80000000</v>
      </c>
      <c r="U144" s="472">
        <v>0</v>
      </c>
      <c r="V144" s="95"/>
      <c r="W144" s="133"/>
      <c r="X144" s="136"/>
      <c r="Y144" s="96" t="s">
        <v>113003</v>
      </c>
      <c r="Z144" s="579">
        <f t="shared" si="62"/>
        <v>0</v>
      </c>
    </row>
    <row r="145" spans="2:26" ht="45" x14ac:dyDescent="0.2">
      <c r="B145" s="88"/>
      <c r="C145" s="89"/>
      <c r="D145" s="89"/>
      <c r="E145" s="89"/>
      <c r="F145" s="89"/>
      <c r="G145" s="89"/>
      <c r="H145" s="89"/>
      <c r="I145" s="89"/>
      <c r="J145" s="89"/>
      <c r="K145" s="96" t="s">
        <v>106997</v>
      </c>
      <c r="L145" s="55">
        <v>81111800</v>
      </c>
      <c r="M145" s="92" t="s">
        <v>113439</v>
      </c>
      <c r="N145" s="93">
        <v>45692</v>
      </c>
      <c r="O145" s="93" t="s">
        <v>113037</v>
      </c>
      <c r="P145" s="94" t="s">
        <v>113022</v>
      </c>
      <c r="Q145" s="94" t="s">
        <v>112999</v>
      </c>
      <c r="R145" s="472">
        <v>100000000</v>
      </c>
      <c r="S145" s="498">
        <v>155000000</v>
      </c>
      <c r="T145" s="472">
        <v>155000000</v>
      </c>
      <c r="U145" s="472">
        <v>0</v>
      </c>
      <c r="V145" s="95"/>
      <c r="W145" s="133"/>
      <c r="X145" s="136"/>
      <c r="Y145" s="96" t="s">
        <v>113003</v>
      </c>
      <c r="Z145" s="579">
        <f t="shared" si="62"/>
        <v>0</v>
      </c>
    </row>
    <row r="146" spans="2:26" ht="45" x14ac:dyDescent="0.2">
      <c r="B146" s="88"/>
      <c r="C146" s="89"/>
      <c r="D146" s="89"/>
      <c r="E146" s="89"/>
      <c r="F146" s="89"/>
      <c r="G146" s="89"/>
      <c r="H146" s="89"/>
      <c r="I146" s="89"/>
      <c r="J146" s="89"/>
      <c r="K146" s="96" t="s">
        <v>106997</v>
      </c>
      <c r="L146" s="91" t="s">
        <v>113440</v>
      </c>
      <c r="M146" s="102" t="s">
        <v>113786</v>
      </c>
      <c r="N146" s="93">
        <v>45825</v>
      </c>
      <c r="O146" s="93" t="s">
        <v>112997</v>
      </c>
      <c r="P146" s="94" t="s">
        <v>112998</v>
      </c>
      <c r="Q146" s="94" t="s">
        <v>113053</v>
      </c>
      <c r="R146" s="472">
        <v>142200000</v>
      </c>
      <c r="S146" s="498">
        <v>160000000</v>
      </c>
      <c r="T146" s="472">
        <v>0</v>
      </c>
      <c r="U146" s="472">
        <v>100000000</v>
      </c>
      <c r="V146" s="95"/>
      <c r="W146" s="133"/>
      <c r="X146" s="136"/>
      <c r="Y146" s="96" t="s">
        <v>113003</v>
      </c>
      <c r="Z146" s="579">
        <f t="shared" si="62"/>
        <v>-60000000</v>
      </c>
    </row>
    <row r="147" spans="2:26" ht="45" x14ac:dyDescent="0.2">
      <c r="B147" s="88"/>
      <c r="C147" s="89"/>
      <c r="D147" s="89"/>
      <c r="E147" s="89"/>
      <c r="F147" s="89"/>
      <c r="G147" s="89"/>
      <c r="H147" s="89"/>
      <c r="I147" s="89"/>
      <c r="J147" s="89"/>
      <c r="K147" s="96" t="s">
        <v>106997</v>
      </c>
      <c r="L147" s="55">
        <v>81111800</v>
      </c>
      <c r="M147" s="92" t="s">
        <v>113442</v>
      </c>
      <c r="N147" s="93">
        <v>45733</v>
      </c>
      <c r="O147" s="93" t="s">
        <v>113087</v>
      </c>
      <c r="P147" s="94" t="s">
        <v>113028</v>
      </c>
      <c r="Q147" s="94" t="s">
        <v>113053</v>
      </c>
      <c r="R147" s="474">
        <v>95000000</v>
      </c>
      <c r="S147" s="498">
        <v>90000000</v>
      </c>
      <c r="T147" s="474">
        <v>90000000</v>
      </c>
      <c r="U147" s="570">
        <v>0</v>
      </c>
      <c r="V147" s="92"/>
      <c r="W147" s="133"/>
      <c r="X147" s="136"/>
      <c r="Y147" s="96" t="s">
        <v>113003</v>
      </c>
      <c r="Z147" s="579">
        <f t="shared" si="62"/>
        <v>0</v>
      </c>
    </row>
    <row r="148" spans="2:26" ht="45" x14ac:dyDescent="0.2">
      <c r="B148" s="88"/>
      <c r="C148" s="89"/>
      <c r="D148" s="89"/>
      <c r="E148" s="89"/>
      <c r="F148" s="89"/>
      <c r="G148" s="89"/>
      <c r="H148" s="89"/>
      <c r="I148" s="89"/>
      <c r="J148" s="89"/>
      <c r="K148" s="96" t="s">
        <v>106997</v>
      </c>
      <c r="L148" s="91" t="s">
        <v>113443</v>
      </c>
      <c r="M148" s="92" t="s">
        <v>113444</v>
      </c>
      <c r="N148" s="93">
        <v>45768</v>
      </c>
      <c r="O148" s="93" t="s">
        <v>113087</v>
      </c>
      <c r="P148" s="94" t="s">
        <v>113028</v>
      </c>
      <c r="Q148" s="94" t="s">
        <v>113053</v>
      </c>
      <c r="R148" s="474"/>
      <c r="S148" s="498">
        <v>50000000</v>
      </c>
      <c r="T148" s="474">
        <v>50000000</v>
      </c>
      <c r="U148" s="474"/>
      <c r="V148" s="92"/>
      <c r="W148" s="133"/>
      <c r="X148" s="136"/>
      <c r="Y148" s="96" t="s">
        <v>113003</v>
      </c>
      <c r="Z148" s="579">
        <f t="shared" si="62"/>
        <v>0</v>
      </c>
    </row>
    <row r="149" spans="2:26" ht="45" x14ac:dyDescent="0.2">
      <c r="B149" s="88"/>
      <c r="C149" s="89"/>
      <c r="D149" s="89"/>
      <c r="E149" s="89"/>
      <c r="F149" s="89"/>
      <c r="G149" s="89"/>
      <c r="H149" s="89"/>
      <c r="I149" s="89"/>
      <c r="J149" s="89"/>
      <c r="K149" s="96" t="s">
        <v>106997</v>
      </c>
      <c r="L149" s="55">
        <v>81112200</v>
      </c>
      <c r="M149" s="102" t="s">
        <v>113445</v>
      </c>
      <c r="N149" s="93">
        <v>45666</v>
      </c>
      <c r="O149" s="93" t="s">
        <v>113037</v>
      </c>
      <c r="P149" s="94" t="s">
        <v>113011</v>
      </c>
      <c r="Q149" s="94" t="s">
        <v>113053</v>
      </c>
      <c r="R149" s="474">
        <v>12200305</v>
      </c>
      <c r="S149" s="498">
        <v>22000000</v>
      </c>
      <c r="T149" s="474">
        <v>15000000</v>
      </c>
      <c r="U149" s="474">
        <v>0</v>
      </c>
      <c r="V149" s="92"/>
      <c r="W149" s="133"/>
      <c r="X149" s="136"/>
      <c r="Y149" s="96" t="s">
        <v>113003</v>
      </c>
      <c r="Z149" s="579">
        <f t="shared" si="62"/>
        <v>-7000000</v>
      </c>
    </row>
    <row r="150" spans="2:26" ht="45" x14ac:dyDescent="0.2">
      <c r="B150" s="88"/>
      <c r="C150" s="89"/>
      <c r="D150" s="89"/>
      <c r="E150" s="89"/>
      <c r="F150" s="89"/>
      <c r="G150" s="89"/>
      <c r="H150" s="89"/>
      <c r="I150" s="89"/>
      <c r="J150" s="89"/>
      <c r="K150" s="96" t="s">
        <v>106997</v>
      </c>
      <c r="L150" s="91" t="s">
        <v>113446</v>
      </c>
      <c r="M150" s="92" t="s">
        <v>113447</v>
      </c>
      <c r="N150" s="93">
        <v>45761</v>
      </c>
      <c r="O150" s="93" t="s">
        <v>113087</v>
      </c>
      <c r="P150" s="94" t="s">
        <v>113155</v>
      </c>
      <c r="Q150" s="94" t="s">
        <v>113053</v>
      </c>
      <c r="R150" s="474"/>
      <c r="S150" s="498">
        <v>50000000</v>
      </c>
      <c r="T150" s="474"/>
      <c r="U150" s="474">
        <f>3400000*5</f>
        <v>17000000</v>
      </c>
      <c r="V150" s="92"/>
      <c r="W150" s="133"/>
      <c r="X150" s="136"/>
      <c r="Y150" s="96" t="s">
        <v>113003</v>
      </c>
      <c r="Z150" s="579">
        <f t="shared" si="62"/>
        <v>-33000000</v>
      </c>
    </row>
    <row r="151" spans="2:26" ht="60" x14ac:dyDescent="0.2">
      <c r="B151" s="88"/>
      <c r="C151" s="89"/>
      <c r="D151" s="89"/>
      <c r="E151" s="89"/>
      <c r="F151" s="89"/>
      <c r="G151" s="89"/>
      <c r="H151" s="89"/>
      <c r="I151" s="89"/>
      <c r="J151" s="89"/>
      <c r="K151" s="96" t="s">
        <v>106997</v>
      </c>
      <c r="L151" s="55">
        <v>81111500</v>
      </c>
      <c r="M151" s="102" t="s">
        <v>113358</v>
      </c>
      <c r="N151" s="93">
        <v>45536</v>
      </c>
      <c r="O151" s="93" t="s">
        <v>113078</v>
      </c>
      <c r="P151" s="94" t="s">
        <v>113007</v>
      </c>
      <c r="Q151" s="94" t="s">
        <v>113053</v>
      </c>
      <c r="R151" s="474">
        <v>31200000</v>
      </c>
      <c r="S151" s="391"/>
      <c r="T151" s="474">
        <v>0</v>
      </c>
      <c r="U151" s="474">
        <v>0</v>
      </c>
      <c r="V151" s="92"/>
      <c r="W151" s="133"/>
      <c r="X151" s="136"/>
      <c r="Y151" s="96" t="s">
        <v>113003</v>
      </c>
      <c r="Z151" s="579">
        <f t="shared" si="62"/>
        <v>0</v>
      </c>
    </row>
    <row r="152" spans="2:26" ht="75" x14ac:dyDescent="0.2">
      <c r="B152" s="88"/>
      <c r="C152" s="89"/>
      <c r="D152" s="89"/>
      <c r="E152" s="89"/>
      <c r="F152" s="89"/>
      <c r="G152" s="89"/>
      <c r="H152" s="89"/>
      <c r="I152" s="89"/>
      <c r="J152" s="89"/>
      <c r="K152" s="96" t="s">
        <v>106997</v>
      </c>
      <c r="L152" s="91" t="s">
        <v>113365</v>
      </c>
      <c r="M152" s="102" t="s">
        <v>113093</v>
      </c>
      <c r="N152" s="93">
        <v>45308</v>
      </c>
      <c r="O152" s="93" t="s">
        <v>113006</v>
      </c>
      <c r="P152" s="94" t="s">
        <v>113002</v>
      </c>
      <c r="Q152" s="94" t="s">
        <v>113094</v>
      </c>
      <c r="R152" s="474">
        <v>260000000</v>
      </c>
      <c r="S152" s="95"/>
      <c r="T152" s="474">
        <v>0</v>
      </c>
      <c r="U152" s="474">
        <v>0</v>
      </c>
      <c r="V152" s="92"/>
      <c r="W152" s="133"/>
      <c r="X152" s="136"/>
      <c r="Y152" s="96" t="s">
        <v>113003</v>
      </c>
      <c r="Z152" s="579">
        <f t="shared" si="62"/>
        <v>0</v>
      </c>
    </row>
    <row r="153" spans="2:26" ht="56.25" customHeight="1" x14ac:dyDescent="0.2">
      <c r="B153" s="88"/>
      <c r="C153" s="89"/>
      <c r="D153" s="89"/>
      <c r="E153" s="89"/>
      <c r="F153" s="89"/>
      <c r="G153" s="89"/>
      <c r="H153" s="89"/>
      <c r="I153" s="89"/>
      <c r="J153" s="89"/>
      <c r="K153" s="96" t="s">
        <v>106997</v>
      </c>
      <c r="L153" s="55">
        <v>84111503</v>
      </c>
      <c r="M153" s="102" t="s">
        <v>113364</v>
      </c>
      <c r="N153" s="93">
        <v>45717</v>
      </c>
      <c r="O153" s="93" t="s">
        <v>113001</v>
      </c>
      <c r="P153" s="94" t="s">
        <v>113002</v>
      </c>
      <c r="Q153" s="94" t="s">
        <v>113094</v>
      </c>
      <c r="R153" s="563">
        <v>200000000</v>
      </c>
      <c r="S153" s="515">
        <v>130000000</v>
      </c>
      <c r="T153" s="472">
        <v>130000000</v>
      </c>
      <c r="U153" s="472">
        <v>0</v>
      </c>
      <c r="V153" s="95"/>
      <c r="W153" s="133"/>
      <c r="X153" s="136"/>
      <c r="Y153" s="398" t="s">
        <v>113161</v>
      </c>
      <c r="Z153" s="579">
        <f t="shared" si="62"/>
        <v>0</v>
      </c>
    </row>
    <row r="154" spans="2:26" ht="148.5" customHeight="1" x14ac:dyDescent="0.2">
      <c r="B154" s="88"/>
      <c r="C154" s="89"/>
      <c r="D154" s="89"/>
      <c r="E154" s="89"/>
      <c r="F154" s="89"/>
      <c r="G154" s="89"/>
      <c r="H154" s="89"/>
      <c r="I154" s="89"/>
      <c r="J154" s="89"/>
      <c r="K154" s="96" t="s">
        <v>106997</v>
      </c>
      <c r="L154" s="91" t="s">
        <v>113266</v>
      </c>
      <c r="M154" s="92" t="s">
        <v>113764</v>
      </c>
      <c r="N154" s="93">
        <v>45666</v>
      </c>
      <c r="O154" s="93">
        <v>45666</v>
      </c>
      <c r="P154" s="94" t="s">
        <v>113200</v>
      </c>
      <c r="Q154" s="94" t="s">
        <v>113053</v>
      </c>
      <c r="R154" s="472">
        <v>65550000</v>
      </c>
      <c r="S154" s="498">
        <v>62700000</v>
      </c>
      <c r="T154" s="472">
        <f>6000000*6</f>
        <v>36000000</v>
      </c>
      <c r="U154" s="472">
        <f>6000000*5</f>
        <v>30000000</v>
      </c>
      <c r="V154" s="95"/>
      <c r="W154" s="133" t="s">
        <v>113031</v>
      </c>
      <c r="X154" s="126" t="s">
        <v>113031</v>
      </c>
      <c r="Y154" s="400" t="s">
        <v>113075</v>
      </c>
      <c r="Z154" s="579">
        <f t="shared" si="62"/>
        <v>3300000</v>
      </c>
    </row>
    <row r="155" spans="2:26" ht="158.25" customHeight="1" x14ac:dyDescent="0.2">
      <c r="B155" s="88"/>
      <c r="C155" s="89"/>
      <c r="D155" s="89"/>
      <c r="E155" s="89"/>
      <c r="F155" s="89"/>
      <c r="G155" s="89"/>
      <c r="H155" s="89"/>
      <c r="I155" s="89"/>
      <c r="J155" s="89"/>
      <c r="K155" s="96" t="s">
        <v>106997</v>
      </c>
      <c r="L155" s="91" t="s">
        <v>113252</v>
      </c>
      <c r="M155" s="92" t="s">
        <v>113765</v>
      </c>
      <c r="N155" s="93">
        <v>45666</v>
      </c>
      <c r="O155" s="93">
        <v>45666</v>
      </c>
      <c r="P155" s="94" t="s">
        <v>113200</v>
      </c>
      <c r="Q155" s="94" t="s">
        <v>113053</v>
      </c>
      <c r="R155" s="472">
        <v>65550000</v>
      </c>
      <c r="S155" s="498">
        <v>62700000</v>
      </c>
      <c r="T155" s="472">
        <v>0</v>
      </c>
      <c r="U155" s="472">
        <v>0</v>
      </c>
      <c r="V155" s="95"/>
      <c r="W155" s="133" t="s">
        <v>113031</v>
      </c>
      <c r="X155" s="126" t="s">
        <v>113031</v>
      </c>
      <c r="Y155" s="400" t="s">
        <v>113075</v>
      </c>
      <c r="Z155" s="579">
        <f t="shared" si="62"/>
        <v>-62700000</v>
      </c>
    </row>
    <row r="156" spans="2:26" ht="153.75" customHeight="1" x14ac:dyDescent="0.2">
      <c r="B156" s="88"/>
      <c r="C156" s="89"/>
      <c r="D156" s="89"/>
      <c r="E156" s="89"/>
      <c r="F156" s="89"/>
      <c r="G156" s="89"/>
      <c r="H156" s="89"/>
      <c r="I156" s="89"/>
      <c r="J156" s="89"/>
      <c r="K156" s="96" t="s">
        <v>106997</v>
      </c>
      <c r="L156" s="91" t="s">
        <v>113266</v>
      </c>
      <c r="M156" s="92" t="s">
        <v>113767</v>
      </c>
      <c r="N156" s="93">
        <v>45666</v>
      </c>
      <c r="O156" s="93">
        <v>45666</v>
      </c>
      <c r="P156" s="94" t="s">
        <v>113200</v>
      </c>
      <c r="Q156" s="94" t="s">
        <v>113053</v>
      </c>
      <c r="R156" s="472">
        <v>34390000</v>
      </c>
      <c r="S156" s="498">
        <v>62700000</v>
      </c>
      <c r="T156" s="472">
        <v>0</v>
      </c>
      <c r="U156" s="472">
        <v>0</v>
      </c>
      <c r="V156" s="95"/>
      <c r="W156" s="133" t="s">
        <v>113031</v>
      </c>
      <c r="X156" s="126" t="s">
        <v>113031</v>
      </c>
      <c r="Y156" s="400" t="s">
        <v>113075</v>
      </c>
      <c r="Z156" s="579">
        <f t="shared" si="62"/>
        <v>-62700000</v>
      </c>
    </row>
    <row r="157" spans="2:26" ht="155.25" customHeight="1" x14ac:dyDescent="0.2">
      <c r="B157" s="88"/>
      <c r="C157" s="89"/>
      <c r="D157" s="89"/>
      <c r="E157" s="89"/>
      <c r="F157" s="89"/>
      <c r="G157" s="89"/>
      <c r="H157" s="89"/>
      <c r="I157" s="89"/>
      <c r="J157" s="89"/>
      <c r="K157" s="96" t="s">
        <v>106997</v>
      </c>
      <c r="L157" s="91" t="s">
        <v>113252</v>
      </c>
      <c r="M157" s="92" t="s">
        <v>113768</v>
      </c>
      <c r="N157" s="93">
        <v>45666</v>
      </c>
      <c r="O157" s="93">
        <v>45666</v>
      </c>
      <c r="P157" s="94" t="s">
        <v>113200</v>
      </c>
      <c r="Q157" s="94" t="s">
        <v>113053</v>
      </c>
      <c r="R157" s="472">
        <v>63650000</v>
      </c>
      <c r="S157" s="498">
        <v>62700000</v>
      </c>
      <c r="T157" s="563">
        <v>36000000</v>
      </c>
      <c r="U157" s="563">
        <v>30000000</v>
      </c>
      <c r="V157" s="95"/>
      <c r="W157" s="133" t="s">
        <v>113031</v>
      </c>
      <c r="X157" s="126" t="s">
        <v>113031</v>
      </c>
      <c r="Y157" s="400" t="s">
        <v>113075</v>
      </c>
      <c r="Z157" s="579">
        <f t="shared" si="62"/>
        <v>3300000</v>
      </c>
    </row>
    <row r="158" spans="2:26" ht="135" x14ac:dyDescent="0.2">
      <c r="B158" s="88"/>
      <c r="C158" s="89"/>
      <c r="D158" s="89"/>
      <c r="E158" s="89"/>
      <c r="F158" s="89"/>
      <c r="G158" s="89"/>
      <c r="H158" s="89"/>
      <c r="I158" s="89"/>
      <c r="J158" s="89"/>
      <c r="K158" s="96" t="s">
        <v>106997</v>
      </c>
      <c r="L158" s="91" t="s">
        <v>113266</v>
      </c>
      <c r="M158" s="92" t="s">
        <v>113766</v>
      </c>
      <c r="N158" s="93">
        <v>45666</v>
      </c>
      <c r="O158" s="93">
        <v>45666</v>
      </c>
      <c r="P158" s="94" t="s">
        <v>113200</v>
      </c>
      <c r="Q158" s="94" t="s">
        <v>113053</v>
      </c>
      <c r="R158" s="472">
        <v>47150000.670000002</v>
      </c>
      <c r="S158" s="498">
        <v>45100000</v>
      </c>
      <c r="T158" s="472">
        <f>4300000*6</f>
        <v>25800000</v>
      </c>
      <c r="U158" s="472">
        <f>4300000*5</f>
        <v>21500000</v>
      </c>
      <c r="V158" s="95"/>
      <c r="W158" s="133" t="s">
        <v>113031</v>
      </c>
      <c r="X158" s="126" t="s">
        <v>113031</v>
      </c>
      <c r="Y158" s="400" t="s">
        <v>113075</v>
      </c>
      <c r="Z158" s="579">
        <f t="shared" si="62"/>
        <v>2200000</v>
      </c>
    </row>
    <row r="159" spans="2:26" ht="159.75" customHeight="1" x14ac:dyDescent="0.2">
      <c r="B159" s="88"/>
      <c r="C159" s="89"/>
      <c r="D159" s="89"/>
      <c r="E159" s="89"/>
      <c r="F159" s="89"/>
      <c r="G159" s="89"/>
      <c r="H159" s="89"/>
      <c r="I159" s="89"/>
      <c r="J159" s="89"/>
      <c r="K159" s="96" t="s">
        <v>106997</v>
      </c>
      <c r="L159" s="91" t="s">
        <v>113252</v>
      </c>
      <c r="M159" s="92" t="s">
        <v>113769</v>
      </c>
      <c r="N159" s="93">
        <v>45666</v>
      </c>
      <c r="O159" s="93">
        <v>45666</v>
      </c>
      <c r="P159" s="94" t="s">
        <v>113200</v>
      </c>
      <c r="Q159" s="94" t="s">
        <v>113053</v>
      </c>
      <c r="R159" s="472">
        <v>35340000</v>
      </c>
      <c r="S159" s="498">
        <v>62700000</v>
      </c>
      <c r="T159" s="563">
        <v>0</v>
      </c>
      <c r="U159" s="563">
        <v>0</v>
      </c>
      <c r="V159" s="95"/>
      <c r="W159" s="133" t="s">
        <v>113031</v>
      </c>
      <c r="X159" s="126" t="s">
        <v>113031</v>
      </c>
      <c r="Y159" s="400" t="s">
        <v>113075</v>
      </c>
      <c r="Z159" s="579">
        <f t="shared" si="62"/>
        <v>-62700000</v>
      </c>
    </row>
    <row r="160" spans="2:26" ht="156" customHeight="1" x14ac:dyDescent="0.2">
      <c r="B160" s="88"/>
      <c r="C160" s="89"/>
      <c r="D160" s="89"/>
      <c r="E160" s="89"/>
      <c r="F160" s="89"/>
      <c r="G160" s="89"/>
      <c r="H160" s="89"/>
      <c r="I160" s="89"/>
      <c r="J160" s="89"/>
      <c r="K160" s="96" t="s">
        <v>106997</v>
      </c>
      <c r="L160" s="55">
        <v>80101500</v>
      </c>
      <c r="M160" s="92" t="s">
        <v>113794</v>
      </c>
      <c r="N160" s="93">
        <v>45664</v>
      </c>
      <c r="O160" s="93" t="s">
        <v>113254</v>
      </c>
      <c r="P160" s="94" t="s">
        <v>113211</v>
      </c>
      <c r="Q160" s="94" t="s">
        <v>113071</v>
      </c>
      <c r="R160" s="472">
        <v>56750000</v>
      </c>
      <c r="S160" s="498">
        <f>5700000*11</f>
        <v>62700000</v>
      </c>
      <c r="T160" s="472">
        <f>6000000*6</f>
        <v>36000000</v>
      </c>
      <c r="U160" s="472">
        <f>6000000*5</f>
        <v>30000000</v>
      </c>
      <c r="V160" s="92"/>
      <c r="W160" s="133"/>
      <c r="X160" s="136"/>
      <c r="Y160" s="400" t="s">
        <v>113082</v>
      </c>
      <c r="Z160" s="579">
        <f t="shared" si="62"/>
        <v>3300000</v>
      </c>
    </row>
    <row r="161" spans="2:26" ht="122.25" customHeight="1" x14ac:dyDescent="0.2">
      <c r="B161" s="88"/>
      <c r="C161" s="89"/>
      <c r="D161" s="89"/>
      <c r="E161" s="89"/>
      <c r="F161" s="89"/>
      <c r="G161" s="89"/>
      <c r="H161" s="89"/>
      <c r="I161" s="89"/>
      <c r="J161" s="89"/>
      <c r="K161" s="96" t="s">
        <v>106997</v>
      </c>
      <c r="L161" s="204">
        <v>80101500</v>
      </c>
      <c r="M161" s="131" t="s">
        <v>113795</v>
      </c>
      <c r="N161" s="93">
        <v>45664</v>
      </c>
      <c r="O161" s="93" t="s">
        <v>113254</v>
      </c>
      <c r="P161" s="94" t="s">
        <v>113211</v>
      </c>
      <c r="Q161" s="94" t="s">
        <v>113053</v>
      </c>
      <c r="R161" s="472">
        <v>24000000</v>
      </c>
      <c r="S161" s="498">
        <f>3200000*11</f>
        <v>35200000</v>
      </c>
      <c r="T161" s="472">
        <v>25800000</v>
      </c>
      <c r="U161" s="472">
        <v>21500000</v>
      </c>
      <c r="V161" s="92"/>
      <c r="W161" s="137"/>
      <c r="X161" s="104"/>
      <c r="Y161" s="400" t="s">
        <v>113082</v>
      </c>
      <c r="Z161" s="579">
        <f t="shared" si="62"/>
        <v>12100000</v>
      </c>
    </row>
    <row r="162" spans="2:26" ht="88.5" customHeight="1" x14ac:dyDescent="0.2">
      <c r="B162" s="88"/>
      <c r="C162" s="89"/>
      <c r="D162" s="89"/>
      <c r="E162" s="89"/>
      <c r="F162" s="89"/>
      <c r="G162" s="89"/>
      <c r="H162" s="89"/>
      <c r="I162" s="89"/>
      <c r="J162" s="89"/>
      <c r="K162" s="96" t="s">
        <v>106997</v>
      </c>
      <c r="L162" s="55">
        <v>80101500</v>
      </c>
      <c r="M162" s="102" t="s">
        <v>113770</v>
      </c>
      <c r="N162" s="93">
        <v>45677</v>
      </c>
      <c r="O162" s="93" t="s">
        <v>113037</v>
      </c>
      <c r="P162" s="94" t="s">
        <v>113011</v>
      </c>
      <c r="Q162" s="94" t="s">
        <v>113053</v>
      </c>
      <c r="R162" s="472">
        <v>14400000</v>
      </c>
      <c r="S162" s="498">
        <f>3200000*11</f>
        <v>35200000</v>
      </c>
      <c r="T162" s="472">
        <f>3400000*6</f>
        <v>20400000</v>
      </c>
      <c r="U162" s="472">
        <f>3400000*5</f>
        <v>17000000</v>
      </c>
      <c r="V162" s="95"/>
      <c r="W162" s="96"/>
      <c r="X162" s="97"/>
      <c r="Y162" s="96" t="s">
        <v>113097</v>
      </c>
      <c r="Z162" s="579">
        <f t="shared" si="62"/>
        <v>2200000</v>
      </c>
    </row>
    <row r="163" spans="2:26" ht="58.5" customHeight="1" x14ac:dyDescent="0.2">
      <c r="B163" s="88"/>
      <c r="C163" s="89"/>
      <c r="D163" s="89"/>
      <c r="E163" s="89"/>
      <c r="F163" s="89"/>
      <c r="G163" s="89"/>
      <c r="H163" s="89"/>
      <c r="I163" s="89"/>
      <c r="J163" s="89"/>
      <c r="K163" s="96" t="s">
        <v>106997</v>
      </c>
      <c r="L163" s="55">
        <v>81111503</v>
      </c>
      <c r="M163" s="102" t="s">
        <v>113448</v>
      </c>
      <c r="N163" s="93">
        <v>45731</v>
      </c>
      <c r="O163" s="93" t="s">
        <v>113001</v>
      </c>
      <c r="P163" s="94" t="s">
        <v>112998</v>
      </c>
      <c r="Q163" s="94" t="s">
        <v>113052</v>
      </c>
      <c r="R163" s="474"/>
      <c r="S163" s="515">
        <v>40000000</v>
      </c>
      <c r="T163" s="474">
        <v>40000000</v>
      </c>
      <c r="U163" s="570"/>
      <c r="V163" s="92"/>
      <c r="W163" s="133"/>
      <c r="X163" s="136"/>
      <c r="Y163" s="96" t="s">
        <v>113054</v>
      </c>
      <c r="Z163" s="579">
        <f t="shared" si="62"/>
        <v>0</v>
      </c>
    </row>
    <row r="164" spans="2:26" x14ac:dyDescent="0.2">
      <c r="B164" s="80" t="s">
        <v>105516</v>
      </c>
      <c r="C164" s="80" t="s">
        <v>105573</v>
      </c>
      <c r="D164" s="80" t="s">
        <v>105573</v>
      </c>
      <c r="E164" s="80" t="s">
        <v>105573</v>
      </c>
      <c r="F164" s="80" t="s">
        <v>105553</v>
      </c>
      <c r="G164" s="80" t="s">
        <v>105538</v>
      </c>
      <c r="H164" s="80" t="s">
        <v>105520</v>
      </c>
      <c r="I164" s="80" t="s">
        <v>105579</v>
      </c>
      <c r="J164" s="416"/>
      <c r="K164" s="80"/>
      <c r="L164" s="436"/>
      <c r="M164" s="304" t="s">
        <v>113219</v>
      </c>
      <c r="N164" s="83"/>
      <c r="O164" s="83"/>
      <c r="P164" s="84"/>
      <c r="Q164" s="111"/>
      <c r="R164" s="85">
        <f>+R165</f>
        <v>10000000</v>
      </c>
      <c r="S164" s="85">
        <f t="shared" ref="S164:U164" si="63">+S165</f>
        <v>10000000</v>
      </c>
      <c r="T164" s="85">
        <f t="shared" si="63"/>
        <v>0</v>
      </c>
      <c r="U164" s="85">
        <f t="shared" si="63"/>
        <v>10000000</v>
      </c>
      <c r="V164" s="85"/>
      <c r="W164" s="86"/>
      <c r="X164" s="86"/>
      <c r="Y164" s="341"/>
      <c r="Z164" s="579">
        <f t="shared" si="62"/>
        <v>0</v>
      </c>
    </row>
    <row r="165" spans="2:26" ht="105" x14ac:dyDescent="0.2">
      <c r="B165" s="88"/>
      <c r="C165" s="89"/>
      <c r="D165" s="89"/>
      <c r="E165" s="89"/>
      <c r="F165" s="89"/>
      <c r="G165" s="89"/>
      <c r="H165" s="89"/>
      <c r="I165" s="89"/>
      <c r="J165" s="89"/>
      <c r="K165" s="96" t="s">
        <v>106997</v>
      </c>
      <c r="L165" s="55">
        <v>80101500</v>
      </c>
      <c r="M165" s="92" t="s">
        <v>113783</v>
      </c>
      <c r="N165" s="93">
        <v>45930</v>
      </c>
      <c r="O165" s="93" t="s">
        <v>113070</v>
      </c>
      <c r="P165" s="94" t="s">
        <v>112998</v>
      </c>
      <c r="Q165" s="94" t="s">
        <v>113071</v>
      </c>
      <c r="R165" s="472">
        <v>10000000</v>
      </c>
      <c r="S165" s="561">
        <v>10000000</v>
      </c>
      <c r="T165" s="472">
        <v>0</v>
      </c>
      <c r="U165" s="472">
        <v>10000000</v>
      </c>
      <c r="V165" s="95"/>
      <c r="W165" s="96"/>
      <c r="X165" s="97"/>
      <c r="Y165" s="398" t="s">
        <v>113012</v>
      </c>
      <c r="Z165" s="579">
        <f t="shared" si="62"/>
        <v>0</v>
      </c>
    </row>
    <row r="166" spans="2:26" ht="30" x14ac:dyDescent="0.2">
      <c r="B166" s="80" t="s">
        <v>105516</v>
      </c>
      <c r="C166" s="80" t="s">
        <v>105573</v>
      </c>
      <c r="D166" s="80" t="s">
        <v>105573</v>
      </c>
      <c r="E166" s="80" t="s">
        <v>105573</v>
      </c>
      <c r="F166" s="80" t="s">
        <v>105553</v>
      </c>
      <c r="G166" s="80" t="s">
        <v>105538</v>
      </c>
      <c r="H166" s="80" t="s">
        <v>105520</v>
      </c>
      <c r="I166" s="80" t="s">
        <v>106211</v>
      </c>
      <c r="J166" s="416"/>
      <c r="K166" s="80"/>
      <c r="L166" s="436"/>
      <c r="M166" s="82" t="s">
        <v>113220</v>
      </c>
      <c r="N166" s="83"/>
      <c r="O166" s="83"/>
      <c r="P166" s="84"/>
      <c r="Q166" s="84"/>
      <c r="R166" s="85">
        <f>SUM(R167:R175)</f>
        <v>102395666</v>
      </c>
      <c r="S166" s="85">
        <f t="shared" ref="S166:U166" si="64">SUM(S167:S175)</f>
        <v>128909000</v>
      </c>
      <c r="T166" s="85">
        <f t="shared" si="64"/>
        <v>86000000</v>
      </c>
      <c r="U166" s="85">
        <f t="shared" si="64"/>
        <v>46600000</v>
      </c>
      <c r="V166" s="85"/>
      <c r="W166" s="86"/>
      <c r="X166" s="86"/>
      <c r="Y166" s="341"/>
      <c r="Z166" s="579">
        <f t="shared" si="62"/>
        <v>3691000</v>
      </c>
    </row>
    <row r="167" spans="2:26" ht="30" x14ac:dyDescent="0.2">
      <c r="B167" s="88"/>
      <c r="C167" s="89"/>
      <c r="D167" s="89"/>
      <c r="E167" s="89"/>
      <c r="F167" s="89"/>
      <c r="G167" s="89"/>
      <c r="H167" s="89"/>
      <c r="I167" s="89"/>
      <c r="J167" s="89"/>
      <c r="K167" s="96" t="s">
        <v>106997</v>
      </c>
      <c r="L167" s="91">
        <v>80111600</v>
      </c>
      <c r="M167" s="102" t="s">
        <v>113272</v>
      </c>
      <c r="N167" s="93">
        <v>45666</v>
      </c>
      <c r="O167" s="93" t="s">
        <v>113060</v>
      </c>
      <c r="P167" s="94" t="s">
        <v>113011</v>
      </c>
      <c r="Q167" s="94" t="s">
        <v>113053</v>
      </c>
      <c r="R167" s="476"/>
      <c r="S167" s="498">
        <v>96909000</v>
      </c>
      <c r="T167" s="476">
        <v>0</v>
      </c>
      <c r="U167" s="476">
        <v>0</v>
      </c>
      <c r="V167" s="92"/>
      <c r="W167" s="133"/>
      <c r="X167" s="136"/>
      <c r="Y167" s="96" t="s">
        <v>113054</v>
      </c>
      <c r="Z167" s="579">
        <f t="shared" si="62"/>
        <v>-96909000</v>
      </c>
    </row>
    <row r="168" spans="2:26" ht="30" x14ac:dyDescent="0.2">
      <c r="B168" s="88"/>
      <c r="C168" s="89"/>
      <c r="D168" s="89"/>
      <c r="E168" s="89"/>
      <c r="F168" s="89"/>
      <c r="G168" s="89"/>
      <c r="H168" s="89"/>
      <c r="I168" s="89"/>
      <c r="J168" s="89"/>
      <c r="K168" s="96"/>
      <c r="L168" s="91">
        <v>80101500</v>
      </c>
      <c r="M168" s="92" t="s">
        <v>113787</v>
      </c>
      <c r="N168" s="93">
        <v>45300</v>
      </c>
      <c r="O168" s="93" t="s">
        <v>113037</v>
      </c>
      <c r="P168" s="94" t="s">
        <v>113256</v>
      </c>
      <c r="Q168" s="94" t="s">
        <v>113053</v>
      </c>
      <c r="R168" s="95">
        <f>8200000-600000+1786666</f>
        <v>9386666</v>
      </c>
      <c r="S168" s="95"/>
      <c r="T168" s="95">
        <v>16200000</v>
      </c>
      <c r="U168" s="476">
        <v>13500000</v>
      </c>
      <c r="V168" s="92"/>
      <c r="W168" s="133"/>
      <c r="X168" s="136"/>
      <c r="Y168" s="96"/>
      <c r="Z168" s="579">
        <f t="shared" si="62"/>
        <v>29700000</v>
      </c>
    </row>
    <row r="169" spans="2:26" ht="30" x14ac:dyDescent="0.2">
      <c r="B169" s="88"/>
      <c r="C169" s="89"/>
      <c r="D169" s="89"/>
      <c r="E169" s="89"/>
      <c r="F169" s="89"/>
      <c r="G169" s="89"/>
      <c r="H169" s="89"/>
      <c r="I169" s="89"/>
      <c r="J169" s="89"/>
      <c r="K169" s="96"/>
      <c r="L169" s="91">
        <v>80111600</v>
      </c>
      <c r="M169" s="92" t="s">
        <v>113772</v>
      </c>
      <c r="N169" s="93">
        <v>45300</v>
      </c>
      <c r="O169" s="93" t="s">
        <v>113060</v>
      </c>
      <c r="P169" s="94" t="s">
        <v>113011</v>
      </c>
      <c r="Q169" s="94" t="s">
        <v>113053</v>
      </c>
      <c r="R169" s="95">
        <v>28600000</v>
      </c>
      <c r="S169" s="95"/>
      <c r="T169" s="95">
        <v>16200000</v>
      </c>
      <c r="U169" s="476">
        <v>13500000</v>
      </c>
      <c r="V169" s="92"/>
      <c r="W169" s="133"/>
      <c r="X169" s="136"/>
      <c r="Y169" s="96"/>
      <c r="Z169" s="579">
        <f t="shared" si="62"/>
        <v>29700000</v>
      </c>
    </row>
    <row r="170" spans="2:26" ht="30" x14ac:dyDescent="0.2">
      <c r="B170" s="88"/>
      <c r="C170" s="89"/>
      <c r="D170" s="89"/>
      <c r="E170" s="89"/>
      <c r="F170" s="89"/>
      <c r="G170" s="89"/>
      <c r="H170" s="89"/>
      <c r="I170" s="89"/>
      <c r="J170" s="89"/>
      <c r="K170" s="96"/>
      <c r="L170" s="91">
        <v>80111600</v>
      </c>
      <c r="M170" s="92" t="s">
        <v>113774</v>
      </c>
      <c r="N170" s="93">
        <v>45300</v>
      </c>
      <c r="O170" s="93" t="s">
        <v>113060</v>
      </c>
      <c r="P170" s="94" t="s">
        <v>113004</v>
      </c>
      <c r="Q170" s="94" t="s">
        <v>113053</v>
      </c>
      <c r="R170" s="95">
        <f>24409000+2600000</f>
        <v>27009000</v>
      </c>
      <c r="S170" s="95"/>
      <c r="T170" s="95"/>
      <c r="U170" s="476"/>
      <c r="V170" s="92"/>
      <c r="W170" s="133"/>
      <c r="X170" s="136"/>
      <c r="Y170" s="96"/>
      <c r="Z170" s="579">
        <f t="shared" si="62"/>
        <v>0</v>
      </c>
    </row>
    <row r="171" spans="2:26" ht="30" x14ac:dyDescent="0.2">
      <c r="B171" s="88"/>
      <c r="C171" s="89"/>
      <c r="D171" s="89"/>
      <c r="E171" s="89"/>
      <c r="F171" s="89"/>
      <c r="G171" s="89"/>
      <c r="H171" s="89"/>
      <c r="I171" s="89"/>
      <c r="J171" s="89"/>
      <c r="K171" s="96"/>
      <c r="L171" s="91">
        <v>80111600</v>
      </c>
      <c r="M171" s="92" t="s">
        <v>113771</v>
      </c>
      <c r="N171" s="93">
        <v>45300</v>
      </c>
      <c r="O171" s="93" t="s">
        <v>113060</v>
      </c>
      <c r="P171" s="94" t="s">
        <v>113211</v>
      </c>
      <c r="Q171" s="94" t="s">
        <v>113053</v>
      </c>
      <c r="R171" s="95">
        <f>11900000</f>
        <v>11900000</v>
      </c>
      <c r="S171" s="95"/>
      <c r="T171" s="95"/>
      <c r="U171" s="476"/>
      <c r="V171" s="92"/>
      <c r="W171" s="133"/>
      <c r="X171" s="136"/>
      <c r="Y171" s="96"/>
      <c r="Z171" s="579">
        <f t="shared" si="62"/>
        <v>0</v>
      </c>
    </row>
    <row r="172" spans="2:26" ht="30" x14ac:dyDescent="0.2">
      <c r="B172" s="88"/>
      <c r="C172" s="89"/>
      <c r="D172" s="89"/>
      <c r="E172" s="89"/>
      <c r="F172" s="89"/>
      <c r="G172" s="89"/>
      <c r="H172" s="89"/>
      <c r="I172" s="89"/>
      <c r="J172" s="89"/>
      <c r="K172" s="96"/>
      <c r="L172" s="91">
        <v>80111600</v>
      </c>
      <c r="M172" s="92" t="s">
        <v>113775</v>
      </c>
      <c r="N172" s="93">
        <v>45505</v>
      </c>
      <c r="O172" s="93" t="s">
        <v>113010</v>
      </c>
      <c r="P172" s="94" t="s">
        <v>113007</v>
      </c>
      <c r="Q172" s="94" t="s">
        <v>113053</v>
      </c>
      <c r="R172" s="95">
        <v>6800000</v>
      </c>
      <c r="S172" s="95"/>
      <c r="T172" s="95"/>
      <c r="U172" s="476"/>
      <c r="V172" s="92"/>
      <c r="W172" s="133"/>
      <c r="X172" s="136"/>
      <c r="Y172" s="96"/>
      <c r="Z172" s="579">
        <f t="shared" si="62"/>
        <v>0</v>
      </c>
    </row>
    <row r="173" spans="2:26" ht="30" x14ac:dyDescent="0.2">
      <c r="B173" s="88"/>
      <c r="C173" s="89"/>
      <c r="D173" s="89"/>
      <c r="E173" s="89"/>
      <c r="F173" s="89"/>
      <c r="G173" s="89"/>
      <c r="H173" s="89"/>
      <c r="I173" s="89"/>
      <c r="J173" s="89"/>
      <c r="K173" s="96"/>
      <c r="L173" s="91">
        <v>80111600</v>
      </c>
      <c r="M173" s="102" t="s">
        <v>113773</v>
      </c>
      <c r="N173" s="93">
        <v>45300</v>
      </c>
      <c r="O173" s="93" t="s">
        <v>113060</v>
      </c>
      <c r="P173" s="94" t="s">
        <v>113211</v>
      </c>
      <c r="Q173" s="94" t="s">
        <v>113053</v>
      </c>
      <c r="R173" s="95">
        <f>11900000</f>
        <v>11900000</v>
      </c>
      <c r="S173" s="95"/>
      <c r="T173" s="95">
        <v>10800000</v>
      </c>
      <c r="U173" s="476">
        <v>9800000</v>
      </c>
      <c r="V173" s="92"/>
      <c r="W173" s="133"/>
      <c r="X173" s="136"/>
      <c r="Y173" s="96"/>
      <c r="Z173" s="579">
        <f t="shared" si="62"/>
        <v>20600000</v>
      </c>
    </row>
    <row r="174" spans="2:26" ht="30" x14ac:dyDescent="0.2">
      <c r="B174" s="88"/>
      <c r="C174" s="89"/>
      <c r="D174" s="89"/>
      <c r="E174" s="89"/>
      <c r="F174" s="89"/>
      <c r="G174" s="89"/>
      <c r="H174" s="89"/>
      <c r="I174" s="89"/>
      <c r="J174" s="89"/>
      <c r="K174" s="96"/>
      <c r="L174" s="91">
        <v>80111600</v>
      </c>
      <c r="M174" s="92" t="s">
        <v>113788</v>
      </c>
      <c r="N174" s="93">
        <v>45505</v>
      </c>
      <c r="O174" s="93" t="s">
        <v>113010</v>
      </c>
      <c r="P174" s="94" t="s">
        <v>113007</v>
      </c>
      <c r="Q174" s="94" t="s">
        <v>113053</v>
      </c>
      <c r="R174" s="95">
        <v>6800000</v>
      </c>
      <c r="S174" s="95"/>
      <c r="T174" s="95">
        <v>10800000</v>
      </c>
      <c r="U174" s="476">
        <v>9800000</v>
      </c>
      <c r="V174" s="92"/>
      <c r="W174" s="133"/>
      <c r="X174" s="136"/>
      <c r="Y174" s="96"/>
      <c r="Z174" s="579">
        <f t="shared" si="62"/>
        <v>20600000</v>
      </c>
    </row>
    <row r="175" spans="2:26" ht="60" x14ac:dyDescent="0.2">
      <c r="B175" s="88"/>
      <c r="C175" s="89"/>
      <c r="D175" s="89"/>
      <c r="E175" s="89"/>
      <c r="F175" s="89"/>
      <c r="G175" s="89"/>
      <c r="H175" s="89"/>
      <c r="I175" s="89"/>
      <c r="J175" s="89"/>
      <c r="K175" s="96" t="s">
        <v>106997</v>
      </c>
      <c r="L175" s="91">
        <v>80161500</v>
      </c>
      <c r="M175" s="92" t="s">
        <v>113449</v>
      </c>
      <c r="N175" s="93">
        <v>45749</v>
      </c>
      <c r="O175" s="93" t="s">
        <v>113006</v>
      </c>
      <c r="P175" s="94" t="s">
        <v>113002</v>
      </c>
      <c r="Q175" s="132" t="s">
        <v>113053</v>
      </c>
      <c r="R175" s="476"/>
      <c r="S175" s="515">
        <v>32000000</v>
      </c>
      <c r="T175" s="476">
        <v>32000000</v>
      </c>
      <c r="U175" s="476">
        <v>0</v>
      </c>
      <c r="V175" s="92"/>
      <c r="W175" s="133"/>
      <c r="X175" s="136"/>
      <c r="Y175" s="96" t="s">
        <v>113054</v>
      </c>
      <c r="Z175" s="579">
        <f t="shared" si="62"/>
        <v>0</v>
      </c>
    </row>
    <row r="176" spans="2:26" ht="30" x14ac:dyDescent="0.2">
      <c r="B176" s="72" t="s">
        <v>105516</v>
      </c>
      <c r="C176" s="72" t="s">
        <v>105573</v>
      </c>
      <c r="D176" s="72" t="s">
        <v>105573</v>
      </c>
      <c r="E176" s="72" t="s">
        <v>105573</v>
      </c>
      <c r="F176" s="72" t="s">
        <v>105553</v>
      </c>
      <c r="G176" s="72" t="s">
        <v>105541</v>
      </c>
      <c r="H176" s="72"/>
      <c r="I176" s="72"/>
      <c r="J176" s="415"/>
      <c r="K176" s="72"/>
      <c r="L176" s="73"/>
      <c r="M176" s="74" t="s">
        <v>107040</v>
      </c>
      <c r="N176" s="75"/>
      <c r="O176" s="75"/>
      <c r="P176" s="76"/>
      <c r="Q176" s="76"/>
      <c r="R176" s="77">
        <f>R177+R180</f>
        <v>68320000</v>
      </c>
      <c r="S176" s="77">
        <f t="shared" ref="S176:U176" si="65">S177+S180</f>
        <v>60000000</v>
      </c>
      <c r="T176" s="77">
        <f t="shared" si="65"/>
        <v>60000000</v>
      </c>
      <c r="U176" s="77">
        <f t="shared" si="65"/>
        <v>0</v>
      </c>
      <c r="V176" s="77"/>
      <c r="W176" s="78"/>
      <c r="X176" s="78"/>
      <c r="Y176" s="72"/>
      <c r="Z176" s="579">
        <f t="shared" si="62"/>
        <v>0</v>
      </c>
    </row>
    <row r="177" spans="2:26" x14ac:dyDescent="0.2">
      <c r="B177" s="80" t="s">
        <v>105516</v>
      </c>
      <c r="C177" s="80" t="s">
        <v>105573</v>
      </c>
      <c r="D177" s="80" t="s">
        <v>105573</v>
      </c>
      <c r="E177" s="80" t="s">
        <v>105573</v>
      </c>
      <c r="F177" s="80" t="s">
        <v>105553</v>
      </c>
      <c r="G177" s="80" t="s">
        <v>105541</v>
      </c>
      <c r="H177" s="80" t="s">
        <v>105520</v>
      </c>
      <c r="I177" s="80"/>
      <c r="J177" s="416"/>
      <c r="K177" s="80"/>
      <c r="L177" s="436"/>
      <c r="M177" s="82" t="s">
        <v>107042</v>
      </c>
      <c r="N177" s="83"/>
      <c r="O177" s="83"/>
      <c r="P177" s="84"/>
      <c r="Q177" s="84"/>
      <c r="R177" s="85">
        <f>R178+R179</f>
        <v>59800000</v>
      </c>
      <c r="S177" s="85">
        <f t="shared" ref="S177:U177" si="66">S178+S179</f>
        <v>60000000</v>
      </c>
      <c r="T177" s="85">
        <f t="shared" si="66"/>
        <v>60000000</v>
      </c>
      <c r="U177" s="85">
        <f t="shared" si="66"/>
        <v>0</v>
      </c>
      <c r="V177" s="85"/>
      <c r="W177" s="86"/>
      <c r="X177" s="86"/>
      <c r="Y177" s="341"/>
      <c r="Z177" s="579">
        <f t="shared" si="62"/>
        <v>0</v>
      </c>
    </row>
    <row r="178" spans="2:26" ht="18" customHeight="1" x14ac:dyDescent="0.2">
      <c r="B178" s="88"/>
      <c r="C178" s="89"/>
      <c r="D178" s="89"/>
      <c r="E178" s="89"/>
      <c r="F178" s="89"/>
      <c r="G178" s="89"/>
      <c r="H178" s="89"/>
      <c r="I178" s="89"/>
      <c r="J178" s="89"/>
      <c r="K178" s="96" t="s">
        <v>107039</v>
      </c>
      <c r="L178" s="55"/>
      <c r="M178" s="102" t="s">
        <v>113099</v>
      </c>
      <c r="N178" s="93">
        <v>45659</v>
      </c>
      <c r="O178" s="93" t="s">
        <v>113060</v>
      </c>
      <c r="P178" s="132" t="s">
        <v>113068</v>
      </c>
      <c r="Q178" s="94" t="s">
        <v>113031</v>
      </c>
      <c r="R178" s="95">
        <v>57800000</v>
      </c>
      <c r="S178" s="95">
        <v>58000000</v>
      </c>
      <c r="T178" s="95">
        <v>58000000</v>
      </c>
      <c r="U178" s="95">
        <v>0</v>
      </c>
      <c r="V178" s="95"/>
      <c r="W178" s="96"/>
      <c r="X178" s="129"/>
      <c r="Y178" s="96" t="s">
        <v>113064</v>
      </c>
      <c r="Z178" s="579">
        <f t="shared" si="62"/>
        <v>0</v>
      </c>
    </row>
    <row r="179" spans="2:26" x14ac:dyDescent="0.2">
      <c r="B179" s="88"/>
      <c r="C179" s="89"/>
      <c r="D179" s="89"/>
      <c r="E179" s="89"/>
      <c r="F179" s="89"/>
      <c r="G179" s="89"/>
      <c r="H179" s="89"/>
      <c r="I179" s="89"/>
      <c r="J179" s="89"/>
      <c r="K179" s="96" t="s">
        <v>107039</v>
      </c>
      <c r="L179" s="55"/>
      <c r="M179" s="102" t="s">
        <v>113100</v>
      </c>
      <c r="N179" s="93" t="s">
        <v>113031</v>
      </c>
      <c r="O179" s="93" t="s">
        <v>113031</v>
      </c>
      <c r="P179" s="94" t="s">
        <v>113031</v>
      </c>
      <c r="Q179" s="94" t="s">
        <v>113031</v>
      </c>
      <c r="R179" s="472">
        <v>2000000</v>
      </c>
      <c r="S179" s="95">
        <v>2000000</v>
      </c>
      <c r="T179" s="472">
        <v>2000000</v>
      </c>
      <c r="U179" s="472">
        <v>0</v>
      </c>
      <c r="V179" s="95"/>
      <c r="W179" s="96"/>
      <c r="X179" s="129"/>
      <c r="Y179" s="96"/>
      <c r="Z179" s="579">
        <f t="shared" si="62"/>
        <v>0</v>
      </c>
    </row>
    <row r="180" spans="2:26" x14ac:dyDescent="0.2">
      <c r="B180" s="80" t="s">
        <v>105516</v>
      </c>
      <c r="C180" s="80" t="s">
        <v>105573</v>
      </c>
      <c r="D180" s="80" t="s">
        <v>105573</v>
      </c>
      <c r="E180" s="80" t="s">
        <v>105573</v>
      </c>
      <c r="F180" s="80" t="s">
        <v>105553</v>
      </c>
      <c r="G180" s="80" t="s">
        <v>105541</v>
      </c>
      <c r="H180" s="80" t="s">
        <v>105573</v>
      </c>
      <c r="I180" s="80"/>
      <c r="J180" s="416"/>
      <c r="K180" s="80"/>
      <c r="L180" s="436"/>
      <c r="M180" s="304" t="s">
        <v>113229</v>
      </c>
      <c r="N180" s="83"/>
      <c r="O180" s="83"/>
      <c r="P180" s="84"/>
      <c r="Q180" s="84"/>
      <c r="R180" s="85">
        <f>R181</f>
        <v>8520000</v>
      </c>
      <c r="S180" s="85">
        <f t="shared" ref="S180:U180" si="67">S181</f>
        <v>0</v>
      </c>
      <c r="T180" s="85">
        <f t="shared" si="67"/>
        <v>0</v>
      </c>
      <c r="U180" s="85">
        <f t="shared" si="67"/>
        <v>0</v>
      </c>
      <c r="V180" s="85"/>
      <c r="W180" s="86"/>
      <c r="X180" s="86"/>
      <c r="Y180" s="341"/>
      <c r="Z180" s="579">
        <f t="shared" si="62"/>
        <v>0</v>
      </c>
    </row>
    <row r="181" spans="2:26" x14ac:dyDescent="0.2">
      <c r="B181" s="90"/>
      <c r="C181" s="90"/>
      <c r="D181" s="90"/>
      <c r="E181" s="90"/>
      <c r="F181" s="90"/>
      <c r="G181" s="90"/>
      <c r="H181" s="90"/>
      <c r="I181" s="90"/>
      <c r="J181" s="89"/>
      <c r="K181" s="96" t="s">
        <v>107039</v>
      </c>
      <c r="L181" s="55">
        <v>81112100</v>
      </c>
      <c r="M181" s="92" t="s">
        <v>113451</v>
      </c>
      <c r="N181" s="93">
        <v>45659</v>
      </c>
      <c r="O181" s="93" t="s">
        <v>113060</v>
      </c>
      <c r="P181" s="132" t="s">
        <v>113068</v>
      </c>
      <c r="Q181" s="94" t="s">
        <v>113031</v>
      </c>
      <c r="R181" s="95">
        <v>8520000</v>
      </c>
      <c r="S181" s="95">
        <v>0</v>
      </c>
      <c r="T181" s="95">
        <v>0</v>
      </c>
      <c r="U181" s="95">
        <v>0</v>
      </c>
      <c r="V181" s="95"/>
      <c r="W181" s="96"/>
      <c r="X181" s="129"/>
      <c r="Y181" s="96" t="s">
        <v>113003</v>
      </c>
      <c r="Z181" s="579">
        <f t="shared" si="62"/>
        <v>0</v>
      </c>
    </row>
    <row r="182" spans="2:26" x14ac:dyDescent="0.2">
      <c r="B182" s="72" t="s">
        <v>105516</v>
      </c>
      <c r="C182" s="72" t="s">
        <v>105573</v>
      </c>
      <c r="D182" s="72" t="s">
        <v>105573</v>
      </c>
      <c r="E182" s="72" t="s">
        <v>105573</v>
      </c>
      <c r="F182" s="72" t="s">
        <v>105553</v>
      </c>
      <c r="G182" s="143" t="s">
        <v>105544</v>
      </c>
      <c r="H182" s="72"/>
      <c r="I182" s="72"/>
      <c r="J182" s="415"/>
      <c r="K182" s="72"/>
      <c r="L182" s="73"/>
      <c r="M182" s="74" t="s">
        <v>107054</v>
      </c>
      <c r="N182" s="75"/>
      <c r="O182" s="75"/>
      <c r="P182" s="76"/>
      <c r="Q182" s="76"/>
      <c r="R182" s="77">
        <f>R183+R185</f>
        <v>75749728</v>
      </c>
      <c r="S182" s="77">
        <f t="shared" ref="S182:U182" si="68">S183+S185</f>
        <v>30000000</v>
      </c>
      <c r="T182" s="77">
        <f t="shared" si="68"/>
        <v>0</v>
      </c>
      <c r="U182" s="77">
        <f t="shared" si="68"/>
        <v>30000000</v>
      </c>
      <c r="V182" s="77"/>
      <c r="W182" s="78"/>
      <c r="X182" s="78"/>
      <c r="Y182" s="72"/>
      <c r="Z182" s="579">
        <f t="shared" si="62"/>
        <v>0</v>
      </c>
    </row>
    <row r="183" spans="2:26" x14ac:dyDescent="0.2">
      <c r="B183" s="80" t="s">
        <v>105516</v>
      </c>
      <c r="C183" s="80" t="s">
        <v>105573</v>
      </c>
      <c r="D183" s="80" t="s">
        <v>105573</v>
      </c>
      <c r="E183" s="80" t="s">
        <v>105573</v>
      </c>
      <c r="F183" s="80" t="s">
        <v>105553</v>
      </c>
      <c r="G183" s="81" t="s">
        <v>105544</v>
      </c>
      <c r="H183" s="81" t="s">
        <v>105520</v>
      </c>
      <c r="I183" s="80"/>
      <c r="J183" s="416"/>
      <c r="K183" s="80"/>
      <c r="L183" s="436"/>
      <c r="M183" s="304" t="s">
        <v>107056</v>
      </c>
      <c r="N183" s="83"/>
      <c r="O183" s="83"/>
      <c r="P183" s="84"/>
      <c r="Q183" s="84"/>
      <c r="R183" s="85">
        <f>R184</f>
        <v>65749728</v>
      </c>
      <c r="S183" s="85">
        <f t="shared" ref="S183:U183" si="69">S184</f>
        <v>30000000</v>
      </c>
      <c r="T183" s="85">
        <f t="shared" si="69"/>
        <v>0</v>
      </c>
      <c r="U183" s="85">
        <f t="shared" si="69"/>
        <v>30000000</v>
      </c>
      <c r="V183" s="85"/>
      <c r="W183" s="86"/>
      <c r="X183" s="86"/>
      <c r="Y183" s="341"/>
      <c r="Z183" s="579">
        <f t="shared" si="62"/>
        <v>0</v>
      </c>
    </row>
    <row r="184" spans="2:26" x14ac:dyDescent="0.2">
      <c r="B184" s="80"/>
      <c r="C184" s="80"/>
      <c r="D184" s="80"/>
      <c r="E184" s="80"/>
      <c r="F184" s="80"/>
      <c r="G184" s="81"/>
      <c r="H184" s="81"/>
      <c r="I184" s="80"/>
      <c r="J184" s="416"/>
      <c r="K184" s="96" t="s">
        <v>107053</v>
      </c>
      <c r="L184" s="91">
        <v>93141800</v>
      </c>
      <c r="M184" s="102" t="s">
        <v>113374</v>
      </c>
      <c r="N184" s="94" t="s">
        <v>113031</v>
      </c>
      <c r="O184" s="94" t="s">
        <v>113031</v>
      </c>
      <c r="P184" s="94" t="s">
        <v>113031</v>
      </c>
      <c r="Q184" s="94" t="s">
        <v>113031</v>
      </c>
      <c r="R184" s="392">
        <v>65749728</v>
      </c>
      <c r="S184" s="95">
        <v>30000000</v>
      </c>
      <c r="T184" s="392">
        <v>0</v>
      </c>
      <c r="U184" s="392">
        <v>30000000</v>
      </c>
      <c r="V184" s="392"/>
      <c r="W184" s="393"/>
      <c r="X184" s="393"/>
      <c r="Y184" s="398" t="s">
        <v>113012</v>
      </c>
      <c r="Z184" s="579">
        <f t="shared" si="62"/>
        <v>0</v>
      </c>
    </row>
    <row r="185" spans="2:26" x14ac:dyDescent="0.2">
      <c r="B185" s="80" t="s">
        <v>105516</v>
      </c>
      <c r="C185" s="80" t="s">
        <v>105573</v>
      </c>
      <c r="D185" s="80" t="s">
        <v>105573</v>
      </c>
      <c r="E185" s="80" t="s">
        <v>105573</v>
      </c>
      <c r="F185" s="80" t="s">
        <v>105553</v>
      </c>
      <c r="G185" s="81" t="s">
        <v>105544</v>
      </c>
      <c r="H185" s="81" t="s">
        <v>106109</v>
      </c>
      <c r="I185" s="80"/>
      <c r="J185" s="416"/>
      <c r="K185" s="80"/>
      <c r="L185" s="436"/>
      <c r="M185" s="304" t="s">
        <v>113695</v>
      </c>
      <c r="N185" s="83"/>
      <c r="O185" s="83"/>
      <c r="P185" s="84"/>
      <c r="Q185" s="84"/>
      <c r="R185" s="85">
        <f>R186</f>
        <v>10000000</v>
      </c>
      <c r="S185" s="85">
        <f t="shared" ref="S185:S186" si="70">S186</f>
        <v>0</v>
      </c>
      <c r="T185" s="85">
        <f>T186</f>
        <v>0</v>
      </c>
      <c r="U185" s="85">
        <f>U186</f>
        <v>0</v>
      </c>
      <c r="V185" s="85"/>
      <c r="W185" s="86"/>
      <c r="X185" s="86"/>
      <c r="Y185" s="341"/>
      <c r="Z185" s="579">
        <f t="shared" si="62"/>
        <v>0</v>
      </c>
    </row>
    <row r="186" spans="2:26" x14ac:dyDescent="0.2">
      <c r="B186" s="80" t="s">
        <v>105516</v>
      </c>
      <c r="C186" s="80" t="s">
        <v>105573</v>
      </c>
      <c r="D186" s="80" t="s">
        <v>105573</v>
      </c>
      <c r="E186" s="80" t="s">
        <v>105573</v>
      </c>
      <c r="F186" s="80" t="s">
        <v>105553</v>
      </c>
      <c r="G186" s="81" t="s">
        <v>105544</v>
      </c>
      <c r="H186" s="81" t="s">
        <v>106109</v>
      </c>
      <c r="I186" s="80">
        <v>3</v>
      </c>
      <c r="J186" s="416"/>
      <c r="K186" s="80"/>
      <c r="L186" s="436"/>
      <c r="M186" s="304" t="s">
        <v>107072</v>
      </c>
      <c r="N186" s="83"/>
      <c r="O186" s="83"/>
      <c r="P186" s="84"/>
      <c r="Q186" s="84"/>
      <c r="R186" s="85">
        <f>R187</f>
        <v>10000000</v>
      </c>
      <c r="S186" s="85">
        <f t="shared" si="70"/>
        <v>0</v>
      </c>
      <c r="T186" s="85">
        <f>T187</f>
        <v>0</v>
      </c>
      <c r="U186" s="85">
        <f>U187</f>
        <v>0</v>
      </c>
      <c r="V186" s="85"/>
      <c r="W186" s="86"/>
      <c r="X186" s="86"/>
      <c r="Y186" s="341"/>
      <c r="Z186" s="579">
        <f t="shared" si="62"/>
        <v>0</v>
      </c>
    </row>
    <row r="187" spans="2:26" ht="30" x14ac:dyDescent="0.2">
      <c r="B187" s="88"/>
      <c r="C187" s="89"/>
      <c r="D187" s="89"/>
      <c r="E187" s="89"/>
      <c r="F187" s="89"/>
      <c r="G187" s="89"/>
      <c r="H187" s="89"/>
      <c r="I187" s="89"/>
      <c r="J187" s="89"/>
      <c r="K187" s="96" t="s">
        <v>107053</v>
      </c>
      <c r="L187" s="91" t="s">
        <v>113103</v>
      </c>
      <c r="M187" s="102" t="s">
        <v>113696</v>
      </c>
      <c r="N187" s="93">
        <v>45838</v>
      </c>
      <c r="O187" s="93" t="s">
        <v>112997</v>
      </c>
      <c r="P187" s="94" t="s">
        <v>113045</v>
      </c>
      <c r="Q187" s="94" t="s">
        <v>113053</v>
      </c>
      <c r="R187" s="472">
        <v>10000000</v>
      </c>
      <c r="S187" s="95">
        <v>0</v>
      </c>
      <c r="T187" s="472">
        <v>0</v>
      </c>
      <c r="U187" s="472">
        <v>0</v>
      </c>
      <c r="V187" s="95"/>
      <c r="W187" s="96" t="s">
        <v>106081</v>
      </c>
      <c r="X187" s="129"/>
      <c r="Y187" s="96" t="s">
        <v>113029</v>
      </c>
      <c r="Z187" s="579">
        <f t="shared" si="62"/>
        <v>0</v>
      </c>
    </row>
    <row r="188" spans="2:26" ht="30" x14ac:dyDescent="0.2">
      <c r="B188" s="72" t="s">
        <v>105516</v>
      </c>
      <c r="C188" s="72" t="s">
        <v>105573</v>
      </c>
      <c r="D188" s="72" t="s">
        <v>105573</v>
      </c>
      <c r="E188" s="72" t="s">
        <v>105573</v>
      </c>
      <c r="F188" s="72" t="s">
        <v>105553</v>
      </c>
      <c r="G188" s="72" t="s">
        <v>105550</v>
      </c>
      <c r="H188" s="72"/>
      <c r="I188" s="72"/>
      <c r="J188" s="415"/>
      <c r="K188" s="72"/>
      <c r="L188" s="73"/>
      <c r="M188" s="74" t="s">
        <v>107092</v>
      </c>
      <c r="N188" s="75"/>
      <c r="O188" s="75"/>
      <c r="P188" s="76"/>
      <c r="Q188" s="76"/>
      <c r="R188" s="77">
        <f>+R189</f>
        <v>180912000</v>
      </c>
      <c r="S188" s="77">
        <f t="shared" ref="S188:U188" si="71">+S189</f>
        <v>174880000</v>
      </c>
      <c r="T188" s="77">
        <f t="shared" si="71"/>
        <v>378600000</v>
      </c>
      <c r="U188" s="77">
        <f t="shared" si="71"/>
        <v>7000000</v>
      </c>
      <c r="V188" s="77"/>
      <c r="W188" s="78"/>
      <c r="X188" s="78"/>
      <c r="Y188" s="72"/>
      <c r="Z188" s="579">
        <f t="shared" si="62"/>
        <v>210720000</v>
      </c>
    </row>
    <row r="189" spans="2:26" ht="42" customHeight="1" x14ac:dyDescent="0.2">
      <c r="B189" s="80" t="s">
        <v>105516</v>
      </c>
      <c r="C189" s="80" t="s">
        <v>105573</v>
      </c>
      <c r="D189" s="80" t="s">
        <v>105573</v>
      </c>
      <c r="E189" s="80" t="s">
        <v>105573</v>
      </c>
      <c r="F189" s="80" t="s">
        <v>105553</v>
      </c>
      <c r="G189" s="80" t="s">
        <v>105550</v>
      </c>
      <c r="H189" s="80" t="s">
        <v>105520</v>
      </c>
      <c r="I189" s="80"/>
      <c r="J189" s="416"/>
      <c r="K189" s="80"/>
      <c r="L189" s="436"/>
      <c r="M189" s="82" t="s">
        <v>107094</v>
      </c>
      <c r="N189" s="83"/>
      <c r="O189" s="83"/>
      <c r="P189" s="84"/>
      <c r="Q189" s="84"/>
      <c r="R189" s="85">
        <f>+R190+R192+R196</f>
        <v>180912000</v>
      </c>
      <c r="S189" s="85">
        <f t="shared" ref="S189:U189" si="72">+S190+S192+S196</f>
        <v>174880000</v>
      </c>
      <c r="T189" s="85">
        <f t="shared" si="72"/>
        <v>378600000</v>
      </c>
      <c r="U189" s="85">
        <f t="shared" si="72"/>
        <v>7000000</v>
      </c>
      <c r="V189" s="85"/>
      <c r="W189" s="86"/>
      <c r="X189" s="86"/>
      <c r="Y189" s="341"/>
      <c r="Z189" s="579">
        <f t="shared" si="62"/>
        <v>210720000</v>
      </c>
    </row>
    <row r="190" spans="2:26" ht="30" x14ac:dyDescent="0.2">
      <c r="B190" s="80" t="s">
        <v>105516</v>
      </c>
      <c r="C190" s="80" t="s">
        <v>105573</v>
      </c>
      <c r="D190" s="80" t="s">
        <v>105573</v>
      </c>
      <c r="E190" s="80" t="s">
        <v>105573</v>
      </c>
      <c r="F190" s="80" t="s">
        <v>105553</v>
      </c>
      <c r="G190" s="80" t="s">
        <v>105550</v>
      </c>
      <c r="H190" s="80" t="s">
        <v>105520</v>
      </c>
      <c r="I190" s="80" t="s">
        <v>106211</v>
      </c>
      <c r="J190" s="416"/>
      <c r="K190" s="80"/>
      <c r="L190" s="436"/>
      <c r="M190" s="304" t="s">
        <v>113230</v>
      </c>
      <c r="N190" s="83"/>
      <c r="O190" s="83"/>
      <c r="P190" s="84"/>
      <c r="Q190" s="84"/>
      <c r="R190" s="85">
        <f>+R191</f>
        <v>40000000</v>
      </c>
      <c r="S190" s="85">
        <f t="shared" ref="S190:U190" si="73">+S191</f>
        <v>60000000</v>
      </c>
      <c r="T190" s="85">
        <f t="shared" si="73"/>
        <v>60000000</v>
      </c>
      <c r="U190" s="85">
        <f t="shared" si="73"/>
        <v>0</v>
      </c>
      <c r="V190" s="85"/>
      <c r="W190" s="86"/>
      <c r="X190" s="86"/>
      <c r="Y190" s="341"/>
      <c r="Z190" s="579">
        <f t="shared" si="62"/>
        <v>0</v>
      </c>
    </row>
    <row r="191" spans="2:26" ht="60" x14ac:dyDescent="0.2">
      <c r="B191" s="88"/>
      <c r="C191" s="89"/>
      <c r="D191" s="89"/>
      <c r="E191" s="89"/>
      <c r="F191" s="89"/>
      <c r="G191" s="89"/>
      <c r="H191" s="89"/>
      <c r="I191" s="89"/>
      <c r="J191" s="89"/>
      <c r="K191" s="96" t="s">
        <v>107091</v>
      </c>
      <c r="L191" s="91" t="s">
        <v>113105</v>
      </c>
      <c r="M191" s="92" t="s">
        <v>113452</v>
      </c>
      <c r="N191" s="93">
        <v>45759</v>
      </c>
      <c r="O191" s="93" t="s">
        <v>113087</v>
      </c>
      <c r="P191" s="94" t="s">
        <v>113028</v>
      </c>
      <c r="Q191" s="94" t="s">
        <v>112999</v>
      </c>
      <c r="R191" s="472">
        <v>40000000</v>
      </c>
      <c r="S191" s="314">
        <v>60000000</v>
      </c>
      <c r="T191" s="472">
        <v>60000000</v>
      </c>
      <c r="U191" s="472">
        <v>0</v>
      </c>
      <c r="V191" s="95"/>
      <c r="W191" s="96"/>
      <c r="X191" s="97"/>
      <c r="Y191" s="96" t="s">
        <v>113003</v>
      </c>
      <c r="Z191" s="579">
        <f t="shared" si="62"/>
        <v>0</v>
      </c>
    </row>
    <row r="192" spans="2:26" ht="30" x14ac:dyDescent="0.2">
      <c r="B192" s="80" t="s">
        <v>105516</v>
      </c>
      <c r="C192" s="80" t="s">
        <v>105573</v>
      </c>
      <c r="D192" s="80" t="s">
        <v>105573</v>
      </c>
      <c r="E192" s="80" t="s">
        <v>105573</v>
      </c>
      <c r="F192" s="80" t="s">
        <v>105553</v>
      </c>
      <c r="G192" s="80" t="s">
        <v>105550</v>
      </c>
      <c r="H192" s="80" t="s">
        <v>105520</v>
      </c>
      <c r="I192" s="80" t="s">
        <v>106214</v>
      </c>
      <c r="J192" s="416"/>
      <c r="K192" s="80"/>
      <c r="L192" s="436"/>
      <c r="M192" s="304" t="s">
        <v>107102</v>
      </c>
      <c r="N192" s="83"/>
      <c r="O192" s="83"/>
      <c r="P192" s="84"/>
      <c r="Q192" s="84"/>
      <c r="R192" s="85">
        <f>SUM(R193:R195)</f>
        <v>94000000</v>
      </c>
      <c r="S192" s="85">
        <f t="shared" ref="S192:U192" si="74">SUM(S193:S195)</f>
        <v>73360000</v>
      </c>
      <c r="T192" s="85">
        <f t="shared" si="74"/>
        <v>284000000</v>
      </c>
      <c r="U192" s="85">
        <f t="shared" si="74"/>
        <v>0</v>
      </c>
      <c r="V192" s="85"/>
      <c r="W192" s="86"/>
      <c r="X192" s="86"/>
      <c r="Y192" s="341"/>
      <c r="Z192" s="579">
        <f t="shared" si="62"/>
        <v>210640000</v>
      </c>
    </row>
    <row r="193" spans="2:26" ht="75" customHeight="1" x14ac:dyDescent="0.2">
      <c r="B193" s="88"/>
      <c r="C193" s="89"/>
      <c r="D193" s="89"/>
      <c r="E193" s="89"/>
      <c r="F193" s="89"/>
      <c r="G193" s="89"/>
      <c r="H193" s="89"/>
      <c r="I193" s="89"/>
      <c r="J193" s="89"/>
      <c r="K193" s="96" t="s">
        <v>107091</v>
      </c>
      <c r="L193" s="91" t="s">
        <v>113133</v>
      </c>
      <c r="M193" s="92" t="s">
        <v>113728</v>
      </c>
      <c r="N193" s="93"/>
      <c r="O193" s="93"/>
      <c r="P193" s="94"/>
      <c r="Q193" s="94"/>
      <c r="R193" s="472">
        <v>16500000</v>
      </c>
      <c r="S193" s="314">
        <v>23360000</v>
      </c>
      <c r="T193" s="472">
        <v>234000000</v>
      </c>
      <c r="U193" s="472">
        <v>0</v>
      </c>
      <c r="V193" s="95"/>
      <c r="W193" s="96"/>
      <c r="X193" s="97"/>
      <c r="Y193" s="96" t="s">
        <v>113000</v>
      </c>
      <c r="Z193" s="579">
        <f t="shared" si="62"/>
        <v>210640000</v>
      </c>
    </row>
    <row r="194" spans="2:26" ht="87" customHeight="1" x14ac:dyDescent="0.2">
      <c r="B194" s="88"/>
      <c r="C194" s="89"/>
      <c r="D194" s="89"/>
      <c r="E194" s="89"/>
      <c r="F194" s="89"/>
      <c r="G194" s="89"/>
      <c r="H194" s="89"/>
      <c r="I194" s="89"/>
      <c r="J194" s="89"/>
      <c r="K194" s="96" t="s">
        <v>107091</v>
      </c>
      <c r="L194" s="91" t="s">
        <v>113133</v>
      </c>
      <c r="M194" s="92" t="s">
        <v>113731</v>
      </c>
      <c r="N194" s="93">
        <v>45838</v>
      </c>
      <c r="O194" s="93" t="s">
        <v>112997</v>
      </c>
      <c r="P194" s="94" t="s">
        <v>113007</v>
      </c>
      <c r="Q194" s="94" t="s">
        <v>113069</v>
      </c>
      <c r="R194" s="472">
        <v>16500000</v>
      </c>
      <c r="S194" s="314">
        <v>0</v>
      </c>
      <c r="T194" s="472">
        <v>0</v>
      </c>
      <c r="U194" s="472">
        <v>0</v>
      </c>
      <c r="V194" s="95"/>
      <c r="W194" s="96" t="s">
        <v>105533</v>
      </c>
      <c r="X194" s="313">
        <f>CEILING(((S194/4*8)*1.05),10000)</f>
        <v>0</v>
      </c>
      <c r="Y194" s="96" t="s">
        <v>113000</v>
      </c>
      <c r="Z194" s="579">
        <f t="shared" si="62"/>
        <v>0</v>
      </c>
    </row>
    <row r="195" spans="2:26" ht="60" x14ac:dyDescent="0.2">
      <c r="B195" s="88"/>
      <c r="C195" s="89"/>
      <c r="D195" s="89"/>
      <c r="E195" s="89"/>
      <c r="F195" s="89"/>
      <c r="G195" s="89"/>
      <c r="H195" s="89"/>
      <c r="I195" s="89"/>
      <c r="J195" s="89"/>
      <c r="K195" s="96" t="s">
        <v>107091</v>
      </c>
      <c r="L195" s="91" t="s">
        <v>113275</v>
      </c>
      <c r="M195" s="92" t="s">
        <v>113749</v>
      </c>
      <c r="N195" s="93">
        <v>45679</v>
      </c>
      <c r="O195" s="93" t="s">
        <v>113037</v>
      </c>
      <c r="P195" s="94" t="s">
        <v>113011</v>
      </c>
      <c r="Q195" s="94" t="s">
        <v>113096</v>
      </c>
      <c r="R195" s="472">
        <v>61000000</v>
      </c>
      <c r="S195" s="314">
        <v>50000000</v>
      </c>
      <c r="T195" s="472">
        <v>50000000</v>
      </c>
      <c r="U195" s="472">
        <v>0</v>
      </c>
      <c r="V195" s="95"/>
      <c r="W195" s="96"/>
      <c r="X195" s="97"/>
      <c r="Y195" s="96" t="s">
        <v>113035</v>
      </c>
      <c r="Z195" s="579">
        <f t="shared" si="62"/>
        <v>0</v>
      </c>
    </row>
    <row r="196" spans="2:26" ht="30" x14ac:dyDescent="0.2">
      <c r="B196" s="80" t="s">
        <v>105516</v>
      </c>
      <c r="C196" s="80" t="s">
        <v>105573</v>
      </c>
      <c r="D196" s="80" t="s">
        <v>105573</v>
      </c>
      <c r="E196" s="80" t="s">
        <v>105573</v>
      </c>
      <c r="F196" s="80" t="s">
        <v>105553</v>
      </c>
      <c r="G196" s="80" t="s">
        <v>105550</v>
      </c>
      <c r="H196" s="80" t="s">
        <v>105520</v>
      </c>
      <c r="I196" s="80" t="s">
        <v>106217</v>
      </c>
      <c r="J196" s="416"/>
      <c r="K196" s="80"/>
      <c r="L196" s="436"/>
      <c r="M196" s="304" t="s">
        <v>107104</v>
      </c>
      <c r="N196" s="83"/>
      <c r="O196" s="83"/>
      <c r="P196" s="84"/>
      <c r="Q196" s="84"/>
      <c r="R196" s="85">
        <f>SUM(R197:R202)</f>
        <v>46912000</v>
      </c>
      <c r="S196" s="85">
        <f t="shared" ref="S196:U196" si="75">SUM(S197:S202)</f>
        <v>41520000</v>
      </c>
      <c r="T196" s="85">
        <f t="shared" si="75"/>
        <v>34600000</v>
      </c>
      <c r="U196" s="85">
        <f t="shared" si="75"/>
        <v>7000000</v>
      </c>
      <c r="V196" s="85"/>
      <c r="W196" s="86"/>
      <c r="X196" s="86"/>
      <c r="Y196" s="341"/>
      <c r="Z196" s="579">
        <f t="shared" si="62"/>
        <v>80000</v>
      </c>
    </row>
    <row r="197" spans="2:26" ht="90" x14ac:dyDescent="0.2">
      <c r="B197" s="88"/>
      <c r="C197" s="89"/>
      <c r="D197" s="89"/>
      <c r="E197" s="89"/>
      <c r="F197" s="89"/>
      <c r="G197" s="89"/>
      <c r="H197" s="89"/>
      <c r="I197" s="89"/>
      <c r="J197" s="89"/>
      <c r="K197" s="96" t="s">
        <v>107091</v>
      </c>
      <c r="L197" s="91">
        <v>72154100</v>
      </c>
      <c r="M197" s="92" t="s">
        <v>113526</v>
      </c>
      <c r="N197" s="93"/>
      <c r="O197" s="93"/>
      <c r="P197" s="94"/>
      <c r="Q197" s="93"/>
      <c r="R197" s="472">
        <v>10956000</v>
      </c>
      <c r="S197" s="314">
        <v>15520000</v>
      </c>
      <c r="T197" s="472">
        <v>15600000</v>
      </c>
      <c r="U197" s="472">
        <v>0</v>
      </c>
      <c r="V197" s="95"/>
      <c r="W197" s="96" t="s">
        <v>106081</v>
      </c>
      <c r="X197" s="97"/>
      <c r="Y197" s="96" t="s">
        <v>113000</v>
      </c>
      <c r="Z197" s="579">
        <f t="shared" si="62"/>
        <v>80000</v>
      </c>
    </row>
    <row r="198" spans="2:26" ht="93" customHeight="1" x14ac:dyDescent="0.2">
      <c r="B198" s="138"/>
      <c r="C198" s="139"/>
      <c r="D198" s="139"/>
      <c r="E198" s="139"/>
      <c r="F198" s="139"/>
      <c r="G198" s="139"/>
      <c r="H198" s="139"/>
      <c r="I198" s="139"/>
      <c r="J198" s="139"/>
      <c r="K198" s="96" t="s">
        <v>107091</v>
      </c>
      <c r="L198" s="91">
        <v>72154100</v>
      </c>
      <c r="M198" s="92" t="s">
        <v>113733</v>
      </c>
      <c r="N198" s="93">
        <v>45838</v>
      </c>
      <c r="O198" s="93" t="s">
        <v>112997</v>
      </c>
      <c r="P198" s="94" t="s">
        <v>113007</v>
      </c>
      <c r="Q198" s="94" t="s">
        <v>113069</v>
      </c>
      <c r="R198" s="472">
        <v>10956000</v>
      </c>
      <c r="S198" s="314">
        <v>0</v>
      </c>
      <c r="T198" s="472">
        <v>0</v>
      </c>
      <c r="U198" s="472">
        <v>0</v>
      </c>
      <c r="V198" s="95"/>
      <c r="W198" s="96" t="s">
        <v>105533</v>
      </c>
      <c r="X198" s="313">
        <f>CEILING(((S198/4*8)*1.05),10000)</f>
        <v>0</v>
      </c>
      <c r="Y198" s="96" t="s">
        <v>113000</v>
      </c>
      <c r="Z198" s="579">
        <f t="shared" si="62"/>
        <v>0</v>
      </c>
    </row>
    <row r="199" spans="2:26" ht="72" customHeight="1" x14ac:dyDescent="0.2">
      <c r="B199" s="138"/>
      <c r="C199" s="139"/>
      <c r="D199" s="139"/>
      <c r="E199" s="139"/>
      <c r="F199" s="139"/>
      <c r="G199" s="139"/>
      <c r="H199" s="139"/>
      <c r="I199" s="139"/>
      <c r="J199" s="139"/>
      <c r="K199" s="96" t="s">
        <v>107091</v>
      </c>
      <c r="L199" s="91" t="s">
        <v>113111</v>
      </c>
      <c r="M199" s="92" t="s">
        <v>113112</v>
      </c>
      <c r="N199" s="93">
        <v>45868</v>
      </c>
      <c r="O199" s="93" t="s">
        <v>113010</v>
      </c>
      <c r="P199" s="132" t="s">
        <v>112998</v>
      </c>
      <c r="Q199" s="93" t="s">
        <v>113052</v>
      </c>
      <c r="R199" s="477">
        <v>7000000</v>
      </c>
      <c r="S199" s="497">
        <v>0</v>
      </c>
      <c r="T199" s="477">
        <v>0</v>
      </c>
      <c r="U199" s="477">
        <v>0</v>
      </c>
      <c r="V199" s="118"/>
      <c r="W199" s="96" t="s">
        <v>106081</v>
      </c>
      <c r="X199" s="141"/>
      <c r="Y199" s="96" t="s">
        <v>113000</v>
      </c>
      <c r="Z199" s="579">
        <f t="shared" ref="Z199:Z219" si="76">(T199+U199)-S199</f>
        <v>0</v>
      </c>
    </row>
    <row r="200" spans="2:26" ht="38.25" customHeight="1" x14ac:dyDescent="0.2">
      <c r="B200" s="138"/>
      <c r="C200" s="139"/>
      <c r="D200" s="139"/>
      <c r="E200" s="139"/>
      <c r="F200" s="139"/>
      <c r="G200" s="139"/>
      <c r="H200" s="139"/>
      <c r="I200" s="139"/>
      <c r="J200" s="139"/>
      <c r="K200" s="96" t="s">
        <v>107091</v>
      </c>
      <c r="L200" s="127">
        <v>81141500</v>
      </c>
      <c r="M200" s="120" t="s">
        <v>113056</v>
      </c>
      <c r="N200" s="121">
        <v>45680</v>
      </c>
      <c r="O200" s="93" t="s">
        <v>113001</v>
      </c>
      <c r="P200" s="94" t="s">
        <v>112998</v>
      </c>
      <c r="Q200" s="94" t="s">
        <v>113052</v>
      </c>
      <c r="R200" s="477">
        <v>6000000</v>
      </c>
      <c r="S200" s="314">
        <v>7000000</v>
      </c>
      <c r="T200" s="477">
        <v>7000000</v>
      </c>
      <c r="U200" s="477">
        <v>0</v>
      </c>
      <c r="V200" s="118"/>
      <c r="W200" s="96"/>
      <c r="X200" s="141"/>
      <c r="Y200" s="96" t="s">
        <v>113057</v>
      </c>
      <c r="Z200" s="579">
        <f t="shared" si="76"/>
        <v>0</v>
      </c>
    </row>
    <row r="201" spans="2:26" ht="30" x14ac:dyDescent="0.2">
      <c r="B201" s="138"/>
      <c r="C201" s="139"/>
      <c r="D201" s="139"/>
      <c r="E201" s="139"/>
      <c r="F201" s="139"/>
      <c r="G201" s="139"/>
      <c r="H201" s="139"/>
      <c r="I201" s="139"/>
      <c r="J201" s="139"/>
      <c r="K201" s="96" t="s">
        <v>107091</v>
      </c>
      <c r="L201" s="91">
        <v>76121500</v>
      </c>
      <c r="M201" s="92" t="s">
        <v>113450</v>
      </c>
      <c r="N201" s="93">
        <v>45762</v>
      </c>
      <c r="O201" s="93" t="s">
        <v>113006</v>
      </c>
      <c r="P201" s="94" t="s">
        <v>113079</v>
      </c>
      <c r="Q201" s="94" t="s">
        <v>113052</v>
      </c>
      <c r="R201" s="474"/>
      <c r="S201" s="118">
        <v>7000000</v>
      </c>
      <c r="T201" s="474"/>
      <c r="U201" s="474">
        <v>7000000</v>
      </c>
      <c r="V201" s="92"/>
      <c r="W201" s="133"/>
      <c r="X201" s="136"/>
      <c r="Y201" s="96" t="s">
        <v>113054</v>
      </c>
      <c r="Z201" s="579">
        <f t="shared" si="76"/>
        <v>0</v>
      </c>
    </row>
    <row r="202" spans="2:26" x14ac:dyDescent="0.2">
      <c r="B202" s="138"/>
      <c r="C202" s="139"/>
      <c r="D202" s="139"/>
      <c r="E202" s="139"/>
      <c r="F202" s="139"/>
      <c r="G202" s="139"/>
      <c r="H202" s="139"/>
      <c r="I202" s="139"/>
      <c r="J202" s="139"/>
      <c r="K202" s="96"/>
      <c r="L202" s="91"/>
      <c r="M202" s="120" t="s">
        <v>113114</v>
      </c>
      <c r="N202" s="121" t="s">
        <v>113031</v>
      </c>
      <c r="O202" s="121" t="s">
        <v>113031</v>
      </c>
      <c r="P202" s="121" t="s">
        <v>113031</v>
      </c>
      <c r="Q202" s="121" t="s">
        <v>113031</v>
      </c>
      <c r="R202" s="474">
        <v>12000000</v>
      </c>
      <c r="S202" s="95">
        <v>12000000</v>
      </c>
      <c r="T202" s="474">
        <v>12000000</v>
      </c>
      <c r="U202" s="474">
        <v>0</v>
      </c>
      <c r="V202" s="92"/>
      <c r="W202" s="133"/>
      <c r="X202" s="136"/>
      <c r="Y202" s="96"/>
      <c r="Z202" s="579">
        <f t="shared" si="76"/>
        <v>0</v>
      </c>
    </row>
    <row r="203" spans="2:26" x14ac:dyDescent="0.2">
      <c r="B203" s="63" t="s">
        <v>105516</v>
      </c>
      <c r="C203" s="63" t="s">
        <v>105573</v>
      </c>
      <c r="D203" s="63" t="s">
        <v>105573</v>
      </c>
      <c r="E203" s="63" t="s">
        <v>105573</v>
      </c>
      <c r="F203" s="63" t="s">
        <v>105556</v>
      </c>
      <c r="G203" s="63"/>
      <c r="H203" s="63"/>
      <c r="I203" s="63"/>
      <c r="J203" s="414"/>
      <c r="K203" s="254"/>
      <c r="L203" s="65"/>
      <c r="M203" s="66" t="s">
        <v>107164</v>
      </c>
      <c r="N203" s="67"/>
      <c r="O203" s="67"/>
      <c r="P203" s="68"/>
      <c r="Q203" s="68"/>
      <c r="R203" s="69">
        <f>+R204+R208+R211+R215+R218</f>
        <v>439786000</v>
      </c>
      <c r="S203" s="69">
        <f t="shared" ref="S203:U203" si="77">+S204+S208+S211+S215+S218</f>
        <v>496000000</v>
      </c>
      <c r="T203" s="69">
        <f t="shared" si="77"/>
        <v>355000000</v>
      </c>
      <c r="U203" s="69">
        <f t="shared" si="77"/>
        <v>141000000</v>
      </c>
      <c r="V203" s="69"/>
      <c r="W203" s="70"/>
      <c r="X203" s="70"/>
      <c r="Y203" s="254"/>
      <c r="Z203" s="579">
        <f t="shared" si="76"/>
        <v>0</v>
      </c>
    </row>
    <row r="204" spans="2:26" x14ac:dyDescent="0.2">
      <c r="B204" s="72" t="s">
        <v>105516</v>
      </c>
      <c r="C204" s="72" t="s">
        <v>105573</v>
      </c>
      <c r="D204" s="72" t="s">
        <v>105573</v>
      </c>
      <c r="E204" s="72" t="s">
        <v>105573</v>
      </c>
      <c r="F204" s="72" t="s">
        <v>105556</v>
      </c>
      <c r="G204" s="72" t="s">
        <v>105535</v>
      </c>
      <c r="H204" s="72"/>
      <c r="I204" s="72"/>
      <c r="J204" s="415"/>
      <c r="K204" s="72"/>
      <c r="L204" s="73"/>
      <c r="M204" s="74" t="s">
        <v>107166</v>
      </c>
      <c r="N204" s="75"/>
      <c r="O204" s="75"/>
      <c r="P204" s="76"/>
      <c r="Q204" s="76"/>
      <c r="R204" s="77">
        <f>+R205</f>
        <v>44500000</v>
      </c>
      <c r="S204" s="77">
        <f t="shared" ref="S204:U204" si="78">+S205</f>
        <v>90000000</v>
      </c>
      <c r="T204" s="77">
        <f t="shared" si="78"/>
        <v>90000000</v>
      </c>
      <c r="U204" s="77">
        <f t="shared" si="78"/>
        <v>0</v>
      </c>
      <c r="V204" s="77"/>
      <c r="W204" s="78"/>
      <c r="X204" s="78"/>
      <c r="Y204" s="72"/>
      <c r="Z204" s="579">
        <f t="shared" si="76"/>
        <v>0</v>
      </c>
    </row>
    <row r="205" spans="2:26" x14ac:dyDescent="0.2">
      <c r="B205" s="80" t="s">
        <v>105516</v>
      </c>
      <c r="C205" s="80" t="s">
        <v>105573</v>
      </c>
      <c r="D205" s="80" t="s">
        <v>105573</v>
      </c>
      <c r="E205" s="80" t="s">
        <v>105573</v>
      </c>
      <c r="F205" s="80" t="s">
        <v>105556</v>
      </c>
      <c r="G205" s="80" t="s">
        <v>105535</v>
      </c>
      <c r="H205" s="80" t="s">
        <v>106109</v>
      </c>
      <c r="I205" s="80"/>
      <c r="J205" s="416"/>
      <c r="K205" s="80"/>
      <c r="L205" s="436"/>
      <c r="M205" s="82" t="s">
        <v>107178</v>
      </c>
      <c r="N205" s="83"/>
      <c r="O205" s="83"/>
      <c r="P205" s="84"/>
      <c r="Q205" s="84"/>
      <c r="R205" s="85">
        <f>SUM(R206+R207)</f>
        <v>44500000</v>
      </c>
      <c r="S205" s="85">
        <f t="shared" ref="S205:U205" si="79">SUM(S206+S207)</f>
        <v>90000000</v>
      </c>
      <c r="T205" s="85">
        <f t="shared" si="79"/>
        <v>90000000</v>
      </c>
      <c r="U205" s="85">
        <f t="shared" si="79"/>
        <v>0</v>
      </c>
      <c r="V205" s="85"/>
      <c r="W205" s="86"/>
      <c r="X205" s="86"/>
      <c r="Y205" s="341"/>
      <c r="Z205" s="579">
        <f t="shared" si="76"/>
        <v>0</v>
      </c>
    </row>
    <row r="206" spans="2:26" ht="45" x14ac:dyDescent="0.2">
      <c r="B206" s="88"/>
      <c r="C206" s="89"/>
      <c r="D206" s="89"/>
      <c r="E206" s="89"/>
      <c r="F206" s="89"/>
      <c r="G206" s="89"/>
      <c r="H206" s="89"/>
      <c r="I206" s="89"/>
      <c r="J206" s="89"/>
      <c r="K206" s="96" t="s">
        <v>107165</v>
      </c>
      <c r="L206" s="91" t="s">
        <v>113115</v>
      </c>
      <c r="M206" s="92" t="s">
        <v>113417</v>
      </c>
      <c r="N206" s="93">
        <v>45713</v>
      </c>
      <c r="O206" s="93" t="s">
        <v>113001</v>
      </c>
      <c r="P206" s="94" t="s">
        <v>113004</v>
      </c>
      <c r="Q206" s="94" t="s">
        <v>113053</v>
      </c>
      <c r="R206" s="472">
        <v>25000000</v>
      </c>
      <c r="S206" s="95">
        <v>50000000</v>
      </c>
      <c r="T206" s="472">
        <v>50000000</v>
      </c>
      <c r="U206" s="472">
        <v>0</v>
      </c>
      <c r="V206" s="95"/>
      <c r="W206" s="96"/>
      <c r="X206" s="97"/>
      <c r="Y206" s="398" t="s">
        <v>113012</v>
      </c>
      <c r="Z206" s="579">
        <f t="shared" si="76"/>
        <v>0</v>
      </c>
    </row>
    <row r="207" spans="2:26" ht="45" x14ac:dyDescent="0.2">
      <c r="B207" s="88"/>
      <c r="C207" s="89"/>
      <c r="D207" s="89"/>
      <c r="E207" s="89"/>
      <c r="F207" s="89"/>
      <c r="G207" s="89"/>
      <c r="H207" s="89"/>
      <c r="I207" s="89"/>
      <c r="J207" s="89"/>
      <c r="K207" s="96" t="s">
        <v>107165</v>
      </c>
      <c r="L207" s="55"/>
      <c r="M207" s="92" t="s">
        <v>113729</v>
      </c>
      <c r="N207" s="93">
        <v>45708</v>
      </c>
      <c r="O207" s="94" t="s">
        <v>113031</v>
      </c>
      <c r="P207" s="94" t="s">
        <v>113031</v>
      </c>
      <c r="Q207" s="94" t="s">
        <v>113031</v>
      </c>
      <c r="R207" s="472">
        <v>19500000</v>
      </c>
      <c r="S207" s="95">
        <v>40000000</v>
      </c>
      <c r="T207" s="472">
        <v>40000000</v>
      </c>
      <c r="U207" s="472">
        <v>0</v>
      </c>
      <c r="V207" s="95"/>
      <c r="W207" s="96"/>
      <c r="X207" s="97"/>
      <c r="Y207" s="398" t="s">
        <v>113012</v>
      </c>
      <c r="Z207" s="579">
        <f t="shared" si="76"/>
        <v>0</v>
      </c>
    </row>
    <row r="208" spans="2:26" ht="30" x14ac:dyDescent="0.2">
      <c r="B208" s="72" t="s">
        <v>105516</v>
      </c>
      <c r="C208" s="72" t="s">
        <v>105573</v>
      </c>
      <c r="D208" s="72" t="s">
        <v>105573</v>
      </c>
      <c r="E208" s="72" t="s">
        <v>105573</v>
      </c>
      <c r="F208" s="72" t="s">
        <v>105556</v>
      </c>
      <c r="G208" s="72" t="s">
        <v>105538</v>
      </c>
      <c r="H208" s="72"/>
      <c r="I208" s="72"/>
      <c r="J208" s="415"/>
      <c r="K208" s="72"/>
      <c r="L208" s="73"/>
      <c r="M208" s="74" t="s">
        <v>107180</v>
      </c>
      <c r="N208" s="75"/>
      <c r="O208" s="75"/>
      <c r="P208" s="76"/>
      <c r="Q208" s="76"/>
      <c r="R208" s="77">
        <f>+R209</f>
        <v>25286000</v>
      </c>
      <c r="S208" s="77">
        <f t="shared" ref="S208:U209" si="80">+S209</f>
        <v>30000000</v>
      </c>
      <c r="T208" s="77">
        <f t="shared" si="80"/>
        <v>30000000</v>
      </c>
      <c r="U208" s="77">
        <f t="shared" si="80"/>
        <v>0</v>
      </c>
      <c r="V208" s="77"/>
      <c r="W208" s="78"/>
      <c r="X208" s="78"/>
      <c r="Y208" s="72"/>
      <c r="Z208" s="579">
        <f t="shared" si="76"/>
        <v>0</v>
      </c>
    </row>
    <row r="209" spans="2:26" x14ac:dyDescent="0.2">
      <c r="B209" s="80" t="s">
        <v>105516</v>
      </c>
      <c r="C209" s="80" t="s">
        <v>105573</v>
      </c>
      <c r="D209" s="80" t="s">
        <v>105573</v>
      </c>
      <c r="E209" s="80" t="s">
        <v>105573</v>
      </c>
      <c r="F209" s="80" t="s">
        <v>105556</v>
      </c>
      <c r="G209" s="80" t="s">
        <v>105538</v>
      </c>
      <c r="H209" s="80" t="s">
        <v>105520</v>
      </c>
      <c r="I209" s="80"/>
      <c r="J209" s="416"/>
      <c r="K209" s="80"/>
      <c r="L209" s="436"/>
      <c r="M209" s="82" t="s">
        <v>107182</v>
      </c>
      <c r="N209" s="83"/>
      <c r="O209" s="83"/>
      <c r="P209" s="84"/>
      <c r="Q209" s="84"/>
      <c r="R209" s="85">
        <f>+R210</f>
        <v>25286000</v>
      </c>
      <c r="S209" s="85">
        <f t="shared" si="80"/>
        <v>30000000</v>
      </c>
      <c r="T209" s="85">
        <f t="shared" si="80"/>
        <v>30000000</v>
      </c>
      <c r="U209" s="85">
        <f t="shared" si="80"/>
        <v>0</v>
      </c>
      <c r="V209" s="85"/>
      <c r="W209" s="86"/>
      <c r="X209" s="86"/>
      <c r="Y209" s="341"/>
      <c r="Z209" s="579">
        <f t="shared" si="76"/>
        <v>0</v>
      </c>
    </row>
    <row r="210" spans="2:26" ht="210" x14ac:dyDescent="0.2">
      <c r="B210" s="88"/>
      <c r="C210" s="89"/>
      <c r="D210" s="89"/>
      <c r="E210" s="89"/>
      <c r="F210" s="89"/>
      <c r="G210" s="89"/>
      <c r="H210" s="89"/>
      <c r="I210" s="89"/>
      <c r="J210" s="89"/>
      <c r="K210" s="96" t="s">
        <v>107179</v>
      </c>
      <c r="L210" s="91" t="s">
        <v>113279</v>
      </c>
      <c r="M210" s="92" t="s">
        <v>113512</v>
      </c>
      <c r="N210" s="440">
        <v>45685</v>
      </c>
      <c r="O210" s="440" t="s">
        <v>113037</v>
      </c>
      <c r="P210" s="447" t="s">
        <v>113004</v>
      </c>
      <c r="Q210" s="448" t="s">
        <v>113113</v>
      </c>
      <c r="R210" s="449">
        <v>25286000</v>
      </c>
      <c r="S210" s="449">
        <v>30000000</v>
      </c>
      <c r="T210" s="449">
        <v>30000000</v>
      </c>
      <c r="U210" s="449">
        <v>0</v>
      </c>
      <c r="V210" s="450"/>
      <c r="W210" s="451"/>
      <c r="X210" s="97"/>
      <c r="Y210" s="96" t="s">
        <v>113019</v>
      </c>
      <c r="Z210" s="579">
        <f t="shared" si="76"/>
        <v>0</v>
      </c>
    </row>
    <row r="211" spans="2:26" ht="45" x14ac:dyDescent="0.2">
      <c r="B211" s="72" t="s">
        <v>105516</v>
      </c>
      <c r="C211" s="72" t="s">
        <v>105573</v>
      </c>
      <c r="D211" s="72" t="s">
        <v>105573</v>
      </c>
      <c r="E211" s="72" t="s">
        <v>105573</v>
      </c>
      <c r="F211" s="72" t="s">
        <v>105556</v>
      </c>
      <c r="G211" s="72" t="s">
        <v>105541</v>
      </c>
      <c r="H211" s="72"/>
      <c r="I211" s="72"/>
      <c r="J211" s="415"/>
      <c r="K211" s="72"/>
      <c r="L211" s="73"/>
      <c r="M211" s="74" t="s">
        <v>107192</v>
      </c>
      <c r="N211" s="75"/>
      <c r="O211" s="75"/>
      <c r="P211" s="76"/>
      <c r="Q211" s="76"/>
      <c r="R211" s="77">
        <f>+R212</f>
        <v>251000000</v>
      </c>
      <c r="S211" s="77">
        <f t="shared" ref="S211:U211" si="81">+S212</f>
        <v>246000000</v>
      </c>
      <c r="T211" s="77">
        <f t="shared" si="81"/>
        <v>165000000</v>
      </c>
      <c r="U211" s="77">
        <f t="shared" si="81"/>
        <v>81000000</v>
      </c>
      <c r="V211" s="77"/>
      <c r="W211" s="78"/>
      <c r="X211" s="78"/>
      <c r="Y211" s="72"/>
      <c r="Z211" s="579">
        <f t="shared" si="76"/>
        <v>0</v>
      </c>
    </row>
    <row r="212" spans="2:26" ht="30" x14ac:dyDescent="0.2">
      <c r="B212" s="80" t="s">
        <v>105516</v>
      </c>
      <c r="C212" s="80" t="s">
        <v>105573</v>
      </c>
      <c r="D212" s="80" t="s">
        <v>105573</v>
      </c>
      <c r="E212" s="80" t="s">
        <v>105573</v>
      </c>
      <c r="F212" s="80" t="s">
        <v>105556</v>
      </c>
      <c r="G212" s="80" t="s">
        <v>105541</v>
      </c>
      <c r="H212" s="80" t="s">
        <v>105520</v>
      </c>
      <c r="I212" s="80"/>
      <c r="J212" s="416"/>
      <c r="K212" s="80"/>
      <c r="L212" s="436"/>
      <c r="M212" s="82" t="s">
        <v>107194</v>
      </c>
      <c r="N212" s="110"/>
      <c r="O212" s="110"/>
      <c r="P212" s="84"/>
      <c r="Q212" s="84"/>
      <c r="R212" s="112">
        <f>SUM(R213+R214)</f>
        <v>251000000</v>
      </c>
      <c r="S212" s="112">
        <f t="shared" ref="S212:U212" si="82">SUM(S213+S214)</f>
        <v>246000000</v>
      </c>
      <c r="T212" s="112">
        <f t="shared" si="82"/>
        <v>165000000</v>
      </c>
      <c r="U212" s="112">
        <f t="shared" si="82"/>
        <v>81000000</v>
      </c>
      <c r="V212" s="112"/>
      <c r="W212" s="113"/>
      <c r="X212" s="113"/>
      <c r="Y212" s="341"/>
      <c r="Z212" s="579">
        <f t="shared" si="76"/>
        <v>0</v>
      </c>
    </row>
    <row r="213" spans="2:26" x14ac:dyDescent="0.2">
      <c r="B213" s="88"/>
      <c r="C213" s="89"/>
      <c r="D213" s="89"/>
      <c r="E213" s="89"/>
      <c r="F213" s="89"/>
      <c r="G213" s="89"/>
      <c r="H213" s="89"/>
      <c r="I213" s="89"/>
      <c r="J213" s="89"/>
      <c r="K213" s="96" t="s">
        <v>107191</v>
      </c>
      <c r="L213" s="91"/>
      <c r="M213" s="102" t="s">
        <v>113121</v>
      </c>
      <c r="N213" s="93">
        <v>45659</v>
      </c>
      <c r="O213" s="93" t="s">
        <v>113060</v>
      </c>
      <c r="P213" s="94" t="s">
        <v>113068</v>
      </c>
      <c r="Q213" s="94"/>
      <c r="R213" s="472">
        <v>231000000</v>
      </c>
      <c r="S213" s="95">
        <v>231000000</v>
      </c>
      <c r="T213" s="472">
        <v>150000000</v>
      </c>
      <c r="U213" s="472">
        <v>81000000</v>
      </c>
      <c r="V213" s="95"/>
      <c r="W213" s="96"/>
      <c r="X213" s="129"/>
      <c r="Y213" s="96" t="s">
        <v>113064</v>
      </c>
      <c r="Z213" s="579">
        <f t="shared" si="76"/>
        <v>0</v>
      </c>
    </row>
    <row r="214" spans="2:26" ht="99.75" customHeight="1" x14ac:dyDescent="0.2">
      <c r="B214" s="88"/>
      <c r="C214" s="89"/>
      <c r="D214" s="89"/>
      <c r="E214" s="89"/>
      <c r="F214" s="89"/>
      <c r="G214" s="89"/>
      <c r="H214" s="89"/>
      <c r="I214" s="89"/>
      <c r="J214" s="89"/>
      <c r="K214" s="96" t="s">
        <v>107191</v>
      </c>
      <c r="L214" s="91" t="s">
        <v>113119</v>
      </c>
      <c r="M214" s="102" t="s">
        <v>113739</v>
      </c>
      <c r="N214" s="93">
        <v>45716</v>
      </c>
      <c r="O214" s="93" t="s">
        <v>113001</v>
      </c>
      <c r="P214" s="94" t="s">
        <v>113004</v>
      </c>
      <c r="Q214" s="94" t="s">
        <v>113052</v>
      </c>
      <c r="R214" s="472">
        <v>20000000</v>
      </c>
      <c r="S214" s="118">
        <v>15000000</v>
      </c>
      <c r="T214" s="472">
        <v>15000000</v>
      </c>
      <c r="U214" s="472">
        <v>0</v>
      </c>
      <c r="V214" s="95"/>
      <c r="W214" s="96" t="s">
        <v>106081</v>
      </c>
      <c r="X214" s="129"/>
      <c r="Y214" s="96" t="s">
        <v>113000</v>
      </c>
      <c r="Z214" s="579">
        <f t="shared" si="76"/>
        <v>0</v>
      </c>
    </row>
    <row r="215" spans="2:26" x14ac:dyDescent="0.2">
      <c r="B215" s="72" t="s">
        <v>105516</v>
      </c>
      <c r="C215" s="72" t="s">
        <v>105573</v>
      </c>
      <c r="D215" s="72" t="s">
        <v>105573</v>
      </c>
      <c r="E215" s="72" t="s">
        <v>105573</v>
      </c>
      <c r="F215" s="72" t="s">
        <v>105556</v>
      </c>
      <c r="G215" s="72" t="s">
        <v>105547</v>
      </c>
      <c r="H215" s="72"/>
      <c r="I215" s="72"/>
      <c r="J215" s="415"/>
      <c r="K215" s="72"/>
      <c r="L215" s="73"/>
      <c r="M215" s="305" t="s">
        <v>113231</v>
      </c>
      <c r="N215" s="75"/>
      <c r="O215" s="75"/>
      <c r="P215" s="76"/>
      <c r="Q215" s="76"/>
      <c r="R215" s="77">
        <f>+R216</f>
        <v>50000000</v>
      </c>
      <c r="S215" s="77">
        <f t="shared" ref="S215:U216" si="83">+S216</f>
        <v>50000000</v>
      </c>
      <c r="T215" s="77">
        <f t="shared" si="83"/>
        <v>30000000</v>
      </c>
      <c r="U215" s="77">
        <f t="shared" si="83"/>
        <v>20000000</v>
      </c>
      <c r="V215" s="77"/>
      <c r="W215" s="78"/>
      <c r="X215" s="78"/>
      <c r="Y215" s="72"/>
      <c r="Z215" s="579">
        <f t="shared" si="76"/>
        <v>0</v>
      </c>
    </row>
    <row r="216" spans="2:26" x14ac:dyDescent="0.2">
      <c r="B216" s="80" t="s">
        <v>105516</v>
      </c>
      <c r="C216" s="80" t="s">
        <v>105573</v>
      </c>
      <c r="D216" s="80" t="s">
        <v>105573</v>
      </c>
      <c r="E216" s="80" t="s">
        <v>105573</v>
      </c>
      <c r="F216" s="80" t="s">
        <v>105556</v>
      </c>
      <c r="G216" s="80" t="s">
        <v>105547</v>
      </c>
      <c r="H216" s="80" t="s">
        <v>106109</v>
      </c>
      <c r="I216" s="80"/>
      <c r="J216" s="416"/>
      <c r="K216" s="80"/>
      <c r="L216" s="436"/>
      <c r="M216" s="82" t="s">
        <v>107228</v>
      </c>
      <c r="N216" s="83"/>
      <c r="O216" s="83"/>
      <c r="P216" s="84"/>
      <c r="Q216" s="84"/>
      <c r="R216" s="85">
        <f>+R217</f>
        <v>50000000</v>
      </c>
      <c r="S216" s="85">
        <f t="shared" si="83"/>
        <v>50000000</v>
      </c>
      <c r="T216" s="85">
        <f t="shared" si="83"/>
        <v>30000000</v>
      </c>
      <c r="U216" s="85">
        <f t="shared" si="83"/>
        <v>20000000</v>
      </c>
      <c r="V216" s="85"/>
      <c r="W216" s="86"/>
      <c r="X216" s="86"/>
      <c r="Y216" s="341"/>
      <c r="Z216" s="579">
        <f t="shared" si="76"/>
        <v>0</v>
      </c>
    </row>
    <row r="217" spans="2:26" ht="87" customHeight="1" x14ac:dyDescent="0.2">
      <c r="B217" s="88"/>
      <c r="C217" s="89"/>
      <c r="D217" s="89"/>
      <c r="E217" s="89"/>
      <c r="F217" s="89"/>
      <c r="G217" s="89"/>
      <c r="H217" s="89"/>
      <c r="I217" s="89"/>
      <c r="J217" s="89"/>
      <c r="K217" s="96" t="s">
        <v>107213</v>
      </c>
      <c r="L217" s="55">
        <v>93141500</v>
      </c>
      <c r="M217" s="92" t="s">
        <v>113381</v>
      </c>
      <c r="N217" s="93">
        <v>45868</v>
      </c>
      <c r="O217" s="93" t="s">
        <v>113010</v>
      </c>
      <c r="P217" s="94" t="s">
        <v>113007</v>
      </c>
      <c r="Q217" s="94" t="s">
        <v>113095</v>
      </c>
      <c r="R217" s="472">
        <v>50000000</v>
      </c>
      <c r="S217" s="99">
        <v>50000000</v>
      </c>
      <c r="T217" s="472">
        <v>30000000</v>
      </c>
      <c r="U217" s="472">
        <v>20000000</v>
      </c>
      <c r="V217" s="95"/>
      <c r="W217" s="96"/>
      <c r="X217" s="97"/>
      <c r="Y217" s="398" t="s">
        <v>113012</v>
      </c>
      <c r="Z217" s="579">
        <f t="shared" si="76"/>
        <v>0</v>
      </c>
    </row>
    <row r="218" spans="2:26" x14ac:dyDescent="0.2">
      <c r="B218" s="72" t="s">
        <v>105516</v>
      </c>
      <c r="C218" s="72" t="s">
        <v>105573</v>
      </c>
      <c r="D218" s="72" t="s">
        <v>105573</v>
      </c>
      <c r="E218" s="72" t="s">
        <v>105573</v>
      </c>
      <c r="F218" s="72" t="s">
        <v>105559</v>
      </c>
      <c r="G218" s="72"/>
      <c r="H218" s="72"/>
      <c r="I218" s="72"/>
      <c r="J218" s="415"/>
      <c r="K218" s="72"/>
      <c r="L218" s="73"/>
      <c r="M218" s="74" t="s">
        <v>105564</v>
      </c>
      <c r="N218" s="75"/>
      <c r="O218" s="75"/>
      <c r="P218" s="76"/>
      <c r="Q218" s="76"/>
      <c r="R218" s="77">
        <f>+R219</f>
        <v>69000000</v>
      </c>
      <c r="S218" s="77">
        <f t="shared" ref="S218:U218" si="84">+S219</f>
        <v>80000000</v>
      </c>
      <c r="T218" s="77">
        <f t="shared" si="84"/>
        <v>40000000</v>
      </c>
      <c r="U218" s="77">
        <f t="shared" si="84"/>
        <v>40000000</v>
      </c>
      <c r="V218" s="77"/>
      <c r="W218" s="78"/>
      <c r="X218" s="78"/>
      <c r="Y218" s="72"/>
      <c r="Z218" s="579">
        <f t="shared" si="76"/>
        <v>0</v>
      </c>
    </row>
    <row r="219" spans="2:26" ht="18.75" customHeight="1" x14ac:dyDescent="0.2">
      <c r="B219" s="88"/>
      <c r="C219" s="89"/>
      <c r="D219" s="89"/>
      <c r="E219" s="89"/>
      <c r="F219" s="89"/>
      <c r="G219" s="89"/>
      <c r="H219" s="89"/>
      <c r="I219" s="89"/>
      <c r="J219" s="89"/>
      <c r="K219" s="96" t="s">
        <v>107241</v>
      </c>
      <c r="L219" s="55"/>
      <c r="M219" s="102" t="s">
        <v>105564</v>
      </c>
      <c r="N219" s="93" t="s">
        <v>113031</v>
      </c>
      <c r="O219" s="93" t="s">
        <v>113031</v>
      </c>
      <c r="P219" s="94" t="s">
        <v>113031</v>
      </c>
      <c r="Q219" s="94" t="s">
        <v>113031</v>
      </c>
      <c r="R219" s="563">
        <v>69000000</v>
      </c>
      <c r="S219" s="95">
        <v>80000000</v>
      </c>
      <c r="T219" s="563">
        <v>40000000</v>
      </c>
      <c r="U219" s="563">
        <v>40000000</v>
      </c>
      <c r="V219" s="95"/>
      <c r="W219" s="96"/>
      <c r="X219" s="97"/>
      <c r="Y219" s="398" t="s">
        <v>113012</v>
      </c>
      <c r="Z219" s="579">
        <f t="shared" si="76"/>
        <v>0</v>
      </c>
    </row>
    <row r="220" spans="2:26" ht="15.75" x14ac:dyDescent="0.2">
      <c r="B220" s="145" t="s">
        <v>105516</v>
      </c>
      <c r="C220" s="145" t="s">
        <v>105924</v>
      </c>
      <c r="D220" s="145"/>
      <c r="E220" s="145"/>
      <c r="F220" s="145"/>
      <c r="G220" s="145"/>
      <c r="H220" s="145"/>
      <c r="I220" s="145"/>
      <c r="J220" s="419"/>
      <c r="K220" s="145"/>
      <c r="L220" s="146"/>
      <c r="M220" s="147" t="s">
        <v>112080</v>
      </c>
      <c r="N220" s="148"/>
      <c r="O220" s="148"/>
      <c r="P220" s="149"/>
      <c r="Q220" s="149">
        <f>+V220-T220</f>
        <v>0</v>
      </c>
      <c r="R220" s="150">
        <f>+R221</f>
        <v>13083700000</v>
      </c>
      <c r="S220" s="150">
        <f>+S221</f>
        <v>16363200000</v>
      </c>
      <c r="T220" s="150">
        <f t="shared" ref="T220" si="85">+T221</f>
        <v>16431000000</v>
      </c>
      <c r="U220" s="150">
        <f>+U221</f>
        <v>496560000</v>
      </c>
      <c r="V220" s="150">
        <v>16431000000</v>
      </c>
      <c r="W220" s="151"/>
      <c r="X220" s="151"/>
      <c r="Y220" s="401"/>
    </row>
    <row r="221" spans="2:26" ht="15.75" x14ac:dyDescent="0.2">
      <c r="B221" s="153" t="s">
        <v>105516</v>
      </c>
      <c r="C221" s="153" t="s">
        <v>105924</v>
      </c>
      <c r="D221" s="153" t="s">
        <v>105520</v>
      </c>
      <c r="E221" s="153"/>
      <c r="F221" s="153"/>
      <c r="G221" s="153"/>
      <c r="H221" s="153"/>
      <c r="I221" s="153"/>
      <c r="J221" s="420"/>
      <c r="K221" s="402"/>
      <c r="L221" s="155"/>
      <c r="M221" s="156" t="s">
        <v>112080</v>
      </c>
      <c r="N221" s="157"/>
      <c r="O221" s="157"/>
      <c r="P221" s="158"/>
      <c r="Q221" s="158"/>
      <c r="R221" s="159">
        <f>+R222+R249</f>
        <v>13083700000</v>
      </c>
      <c r="S221" s="159">
        <f>+S222+S249</f>
        <v>16363200000</v>
      </c>
      <c r="T221" s="159">
        <f t="shared" ref="T221" si="86">+T222+T249</f>
        <v>16431000000</v>
      </c>
      <c r="U221" s="159">
        <f>+U222+U249</f>
        <v>496560000</v>
      </c>
      <c r="V221" s="159"/>
      <c r="W221" s="160"/>
      <c r="X221" s="160"/>
      <c r="Y221" s="402"/>
    </row>
    <row r="222" spans="2:26" ht="15.75" x14ac:dyDescent="0.2">
      <c r="B222" s="162" t="s">
        <v>105516</v>
      </c>
      <c r="C222" s="162" t="s">
        <v>105924</v>
      </c>
      <c r="D222" s="162" t="s">
        <v>105520</v>
      </c>
      <c r="E222" s="162" t="s">
        <v>105520</v>
      </c>
      <c r="F222" s="162"/>
      <c r="G222" s="162"/>
      <c r="H222" s="162"/>
      <c r="I222" s="162"/>
      <c r="J222" s="421"/>
      <c r="K222" s="162"/>
      <c r="L222" s="163"/>
      <c r="M222" s="164" t="s">
        <v>106437</v>
      </c>
      <c r="N222" s="165"/>
      <c r="O222" s="165"/>
      <c r="P222" s="166"/>
      <c r="Q222" s="166"/>
      <c r="R222" s="167">
        <f>+R223+R243</f>
        <v>981760000</v>
      </c>
      <c r="S222" s="167">
        <f>+S223+S243</f>
        <v>670000000</v>
      </c>
      <c r="T222" s="167">
        <f t="shared" ref="T222" si="87">+T223+T243</f>
        <v>746000000</v>
      </c>
      <c r="U222" s="167">
        <f>+U223+U243</f>
        <v>0</v>
      </c>
      <c r="V222" s="167"/>
      <c r="W222" s="168"/>
      <c r="X222" s="168"/>
      <c r="Y222" s="403"/>
    </row>
    <row r="223" spans="2:26" ht="30" x14ac:dyDescent="0.2">
      <c r="B223" s="63" t="s">
        <v>105516</v>
      </c>
      <c r="C223" s="63" t="s">
        <v>105924</v>
      </c>
      <c r="D223" s="63" t="s">
        <v>105520</v>
      </c>
      <c r="E223" s="63" t="s">
        <v>105520</v>
      </c>
      <c r="F223" s="63" t="s">
        <v>105538</v>
      </c>
      <c r="G223" s="63"/>
      <c r="H223" s="63"/>
      <c r="I223" s="63"/>
      <c r="J223" s="414"/>
      <c r="K223" s="254"/>
      <c r="L223" s="65"/>
      <c r="M223" s="66" t="s">
        <v>106589</v>
      </c>
      <c r="N223" s="67"/>
      <c r="O223" s="67"/>
      <c r="P223" s="68"/>
      <c r="Q223" s="68"/>
      <c r="R223" s="69">
        <f>+R224+R227+R230+R234+R240</f>
        <v>696161340.20000005</v>
      </c>
      <c r="S223" s="69">
        <f>+S224+S227+S230+S234+S240</f>
        <v>600000000</v>
      </c>
      <c r="T223" s="69">
        <f t="shared" ref="T223" si="88">+T224+T227+T230+T234+T240</f>
        <v>530000000</v>
      </c>
      <c r="U223" s="69">
        <f>+U224+U227+U230+U234+U240</f>
        <v>0</v>
      </c>
      <c r="V223" s="69"/>
      <c r="W223" s="70"/>
      <c r="X223" s="70"/>
      <c r="Y223" s="254"/>
    </row>
    <row r="224" spans="2:26" ht="30" x14ac:dyDescent="0.2">
      <c r="B224" s="170" t="s">
        <v>105516</v>
      </c>
      <c r="C224" s="170" t="s">
        <v>105924</v>
      </c>
      <c r="D224" s="170" t="s">
        <v>105520</v>
      </c>
      <c r="E224" s="170" t="s">
        <v>105520</v>
      </c>
      <c r="F224" s="170" t="s">
        <v>105538</v>
      </c>
      <c r="G224" s="170" t="s">
        <v>105535</v>
      </c>
      <c r="H224" s="170"/>
      <c r="I224" s="170"/>
      <c r="J224" s="422"/>
      <c r="K224" s="170"/>
      <c r="L224" s="171"/>
      <c r="M224" s="307" t="s">
        <v>113232</v>
      </c>
      <c r="N224" s="173"/>
      <c r="O224" s="173"/>
      <c r="P224" s="174"/>
      <c r="Q224" s="174"/>
      <c r="R224" s="175">
        <f>+R225</f>
        <v>25000000</v>
      </c>
      <c r="S224" s="175">
        <f t="shared" ref="S224:T225" si="89">+S225</f>
        <v>15000000</v>
      </c>
      <c r="T224" s="175">
        <f t="shared" si="89"/>
        <v>15000000</v>
      </c>
      <c r="U224" s="175">
        <f>+U225</f>
        <v>0</v>
      </c>
      <c r="V224" s="175"/>
      <c r="W224" s="176"/>
      <c r="X224" s="176"/>
      <c r="Y224" s="170"/>
    </row>
    <row r="225" spans="2:25" x14ac:dyDescent="0.2">
      <c r="B225" s="80" t="s">
        <v>105516</v>
      </c>
      <c r="C225" s="80" t="s">
        <v>105924</v>
      </c>
      <c r="D225" s="80" t="s">
        <v>105520</v>
      </c>
      <c r="E225" s="80" t="s">
        <v>105520</v>
      </c>
      <c r="F225" s="81" t="s">
        <v>105538</v>
      </c>
      <c r="G225" s="81" t="s">
        <v>105535</v>
      </c>
      <c r="H225" s="81" t="s">
        <v>105520</v>
      </c>
      <c r="I225" s="80"/>
      <c r="J225" s="416"/>
      <c r="K225" s="80"/>
      <c r="L225" s="436"/>
      <c r="M225" s="82" t="s">
        <v>106595</v>
      </c>
      <c r="N225" s="83"/>
      <c r="O225" s="83"/>
      <c r="P225" s="84"/>
      <c r="Q225" s="84"/>
      <c r="R225" s="85">
        <f>+R226</f>
        <v>25000000</v>
      </c>
      <c r="S225" s="85">
        <f t="shared" si="89"/>
        <v>15000000</v>
      </c>
      <c r="T225" s="85">
        <f t="shared" si="89"/>
        <v>15000000</v>
      </c>
      <c r="U225" s="85">
        <f>+U226</f>
        <v>0</v>
      </c>
      <c r="V225" s="85"/>
      <c r="W225" s="86"/>
      <c r="X225" s="86"/>
      <c r="Y225" s="341"/>
    </row>
    <row r="226" spans="2:25" ht="180" x14ac:dyDescent="0.2">
      <c r="B226" s="88"/>
      <c r="C226" s="89"/>
      <c r="D226" s="89"/>
      <c r="E226" s="89"/>
      <c r="F226" s="89"/>
      <c r="G226" s="89"/>
      <c r="H226" s="89"/>
      <c r="I226" s="89"/>
      <c r="J226" s="89"/>
      <c r="K226" s="96" t="s">
        <v>112177</v>
      </c>
      <c r="L226" s="91" t="s">
        <v>113026</v>
      </c>
      <c r="M226" s="92" t="s">
        <v>113522</v>
      </c>
      <c r="N226" s="93">
        <v>45716</v>
      </c>
      <c r="O226" s="93" t="s">
        <v>113001</v>
      </c>
      <c r="P226" s="94" t="s">
        <v>113045</v>
      </c>
      <c r="Q226" s="94" t="s">
        <v>113008</v>
      </c>
      <c r="R226" s="472">
        <v>25000000</v>
      </c>
      <c r="S226" s="118">
        <v>15000000</v>
      </c>
      <c r="T226" s="571">
        <v>15000000</v>
      </c>
      <c r="U226" s="472">
        <v>0</v>
      </c>
      <c r="V226" s="95"/>
      <c r="W226" s="96" t="s">
        <v>106081</v>
      </c>
      <c r="X226" s="129"/>
      <c r="Y226" s="96" t="s">
        <v>113029</v>
      </c>
    </row>
    <row r="227" spans="2:25" ht="30" x14ac:dyDescent="0.2">
      <c r="B227" s="170" t="s">
        <v>105516</v>
      </c>
      <c r="C227" s="170" t="s">
        <v>105924</v>
      </c>
      <c r="D227" s="170" t="s">
        <v>105520</v>
      </c>
      <c r="E227" s="170" t="s">
        <v>105520</v>
      </c>
      <c r="F227" s="170" t="s">
        <v>105538</v>
      </c>
      <c r="G227" s="170" t="s">
        <v>105538</v>
      </c>
      <c r="H227" s="170"/>
      <c r="I227" s="170"/>
      <c r="J227" s="422"/>
      <c r="K227" s="170"/>
      <c r="L227" s="171"/>
      <c r="M227" s="172" t="s">
        <v>106611</v>
      </c>
      <c r="N227" s="173"/>
      <c r="O227" s="173"/>
      <c r="P227" s="174"/>
      <c r="Q227" s="174"/>
      <c r="R227" s="175">
        <f>+R228</f>
        <v>150000000</v>
      </c>
      <c r="S227" s="175">
        <f t="shared" ref="S227:T228" si="90">+S228</f>
        <v>150000000</v>
      </c>
      <c r="T227" s="175">
        <f t="shared" si="90"/>
        <v>150000000</v>
      </c>
      <c r="U227" s="175">
        <f>+U228</f>
        <v>0</v>
      </c>
      <c r="V227" s="175"/>
      <c r="W227" s="176"/>
      <c r="X227" s="176"/>
      <c r="Y227" s="170"/>
    </row>
    <row r="228" spans="2:25" ht="60" x14ac:dyDescent="0.2">
      <c r="B228" s="80" t="s">
        <v>105516</v>
      </c>
      <c r="C228" s="80" t="s">
        <v>105924</v>
      </c>
      <c r="D228" s="80" t="s">
        <v>105520</v>
      </c>
      <c r="E228" s="80" t="s">
        <v>105520</v>
      </c>
      <c r="F228" s="81" t="s">
        <v>105538</v>
      </c>
      <c r="G228" s="81" t="s">
        <v>105538</v>
      </c>
      <c r="H228" s="81" t="s">
        <v>105675</v>
      </c>
      <c r="I228" s="80"/>
      <c r="J228" s="416"/>
      <c r="K228" s="80"/>
      <c r="L228" s="436"/>
      <c r="M228" s="82" t="s">
        <v>106617</v>
      </c>
      <c r="N228" s="83"/>
      <c r="O228" s="83"/>
      <c r="P228" s="84"/>
      <c r="Q228" s="84"/>
      <c r="R228" s="85">
        <f>+R229</f>
        <v>150000000</v>
      </c>
      <c r="S228" s="85">
        <f t="shared" si="90"/>
        <v>150000000</v>
      </c>
      <c r="T228" s="85">
        <f t="shared" si="90"/>
        <v>150000000</v>
      </c>
      <c r="U228" s="85">
        <f>+U229</f>
        <v>0</v>
      </c>
      <c r="V228" s="85"/>
      <c r="W228" s="86"/>
      <c r="X228" s="86"/>
      <c r="Y228" s="341"/>
    </row>
    <row r="229" spans="2:25" ht="60" x14ac:dyDescent="0.2">
      <c r="B229" s="88"/>
      <c r="C229" s="89"/>
      <c r="D229" s="89"/>
      <c r="E229" s="89"/>
      <c r="F229" s="89"/>
      <c r="G229" s="89"/>
      <c r="H229" s="89"/>
      <c r="I229" s="89"/>
      <c r="J229" s="89"/>
      <c r="K229" s="96" t="s">
        <v>112186</v>
      </c>
      <c r="L229" s="91">
        <v>15101500</v>
      </c>
      <c r="M229" s="102" t="s">
        <v>113124</v>
      </c>
      <c r="N229" s="93">
        <v>45695</v>
      </c>
      <c r="O229" s="93" t="s">
        <v>113037</v>
      </c>
      <c r="P229" s="94" t="s">
        <v>113004</v>
      </c>
      <c r="Q229" s="94" t="s">
        <v>113038</v>
      </c>
      <c r="R229" s="472">
        <v>150000000</v>
      </c>
      <c r="S229" s="118">
        <v>150000000</v>
      </c>
      <c r="T229" s="571">
        <v>150000000</v>
      </c>
      <c r="U229" s="472">
        <v>0</v>
      </c>
      <c r="V229" s="95"/>
      <c r="W229" s="96" t="s">
        <v>106081</v>
      </c>
      <c r="X229" s="129"/>
      <c r="Y229" s="96" t="s">
        <v>113000</v>
      </c>
    </row>
    <row r="230" spans="2:25" ht="30" x14ac:dyDescent="0.2">
      <c r="B230" s="170" t="s">
        <v>105516</v>
      </c>
      <c r="C230" s="170" t="s">
        <v>105924</v>
      </c>
      <c r="D230" s="170" t="s">
        <v>105520</v>
      </c>
      <c r="E230" s="170" t="s">
        <v>105520</v>
      </c>
      <c r="F230" s="170" t="s">
        <v>105538</v>
      </c>
      <c r="G230" s="179" t="s">
        <v>105544</v>
      </c>
      <c r="H230" s="170"/>
      <c r="I230" s="170"/>
      <c r="J230" s="422"/>
      <c r="K230" s="170"/>
      <c r="L230" s="171"/>
      <c r="M230" s="172" t="s">
        <v>106645</v>
      </c>
      <c r="N230" s="173"/>
      <c r="O230" s="173"/>
      <c r="P230" s="174"/>
      <c r="Q230" s="174"/>
      <c r="R230" s="175">
        <f>+R231</f>
        <v>34000000</v>
      </c>
      <c r="S230" s="175">
        <f>+S231</f>
        <v>35000000</v>
      </c>
      <c r="T230" s="175">
        <f t="shared" ref="T230" si="91">+T231</f>
        <v>35000000</v>
      </c>
      <c r="U230" s="175">
        <f>+U231</f>
        <v>0</v>
      </c>
      <c r="V230" s="175"/>
      <c r="W230" s="176"/>
      <c r="X230" s="176"/>
      <c r="Y230" s="170"/>
    </row>
    <row r="231" spans="2:25" x14ac:dyDescent="0.2">
      <c r="B231" s="80" t="s">
        <v>105516</v>
      </c>
      <c r="C231" s="80" t="s">
        <v>105924</v>
      </c>
      <c r="D231" s="80" t="s">
        <v>105520</v>
      </c>
      <c r="E231" s="80" t="s">
        <v>105520</v>
      </c>
      <c r="F231" s="80" t="s">
        <v>105538</v>
      </c>
      <c r="G231" s="80" t="s">
        <v>105544</v>
      </c>
      <c r="H231" s="180" t="s">
        <v>105573</v>
      </c>
      <c r="I231" s="80"/>
      <c r="J231" s="416"/>
      <c r="K231" s="80"/>
      <c r="L231" s="436"/>
      <c r="M231" s="109" t="s">
        <v>106649</v>
      </c>
      <c r="N231" s="83"/>
      <c r="O231" s="83"/>
      <c r="P231" s="84"/>
      <c r="Q231" s="84"/>
      <c r="R231" s="85">
        <f>SUM(R232+R233)</f>
        <v>34000000</v>
      </c>
      <c r="S231" s="85">
        <f>SUM(S232+S233)</f>
        <v>35000000</v>
      </c>
      <c r="T231" s="85">
        <f t="shared" ref="T231" si="92">SUM(T232+T233)</f>
        <v>35000000</v>
      </c>
      <c r="U231" s="85">
        <f>SUM(U232+U233)</f>
        <v>0</v>
      </c>
      <c r="V231" s="85"/>
      <c r="W231" s="86"/>
      <c r="X231" s="86"/>
      <c r="Y231" s="341"/>
    </row>
    <row r="232" spans="2:25" ht="240" x14ac:dyDescent="0.2">
      <c r="B232" s="138"/>
      <c r="C232" s="139"/>
      <c r="D232" s="139"/>
      <c r="E232" s="139"/>
      <c r="F232" s="139"/>
      <c r="G232" s="139"/>
      <c r="H232" s="139"/>
      <c r="I232" s="139"/>
      <c r="J232" s="139"/>
      <c r="K232" s="96" t="s">
        <v>112204</v>
      </c>
      <c r="L232" s="91" t="s">
        <v>113280</v>
      </c>
      <c r="M232" s="452" t="s">
        <v>113714</v>
      </c>
      <c r="N232" s="453">
        <v>45762</v>
      </c>
      <c r="O232" s="441" t="s">
        <v>113087</v>
      </c>
      <c r="P232" s="441" t="s">
        <v>112998</v>
      </c>
      <c r="Q232" s="441" t="s">
        <v>113038</v>
      </c>
      <c r="R232" s="472">
        <v>9000000</v>
      </c>
      <c r="S232" s="314">
        <v>15000000</v>
      </c>
      <c r="T232" s="571">
        <v>15000000</v>
      </c>
      <c r="U232" s="472">
        <v>0</v>
      </c>
      <c r="V232" s="95"/>
      <c r="W232" s="96"/>
      <c r="X232" s="97"/>
      <c r="Y232" s="96" t="s">
        <v>113019</v>
      </c>
    </row>
    <row r="233" spans="2:25" x14ac:dyDescent="0.2">
      <c r="B233" s="138"/>
      <c r="C233" s="139"/>
      <c r="D233" s="139"/>
      <c r="E233" s="139"/>
      <c r="F233" s="139"/>
      <c r="G233" s="139"/>
      <c r="H233" s="139"/>
      <c r="I233" s="139"/>
      <c r="J233" s="139"/>
      <c r="K233" s="96" t="s">
        <v>112204</v>
      </c>
      <c r="L233" s="91">
        <v>44103100</v>
      </c>
      <c r="M233" s="102" t="s">
        <v>113547</v>
      </c>
      <c r="N233" s="93">
        <v>45716</v>
      </c>
      <c r="O233" s="93" t="s">
        <v>113001</v>
      </c>
      <c r="P233" s="94" t="s">
        <v>113045</v>
      </c>
      <c r="Q233" s="94" t="s">
        <v>113008</v>
      </c>
      <c r="R233" s="472">
        <v>25000000</v>
      </c>
      <c r="S233" s="118">
        <v>20000000</v>
      </c>
      <c r="T233" s="571">
        <v>20000000</v>
      </c>
      <c r="U233" s="472">
        <v>0</v>
      </c>
      <c r="V233" s="95"/>
      <c r="W233" s="96" t="s">
        <v>106081</v>
      </c>
      <c r="X233" s="97"/>
      <c r="Y233" s="96" t="s">
        <v>113029</v>
      </c>
    </row>
    <row r="234" spans="2:25" x14ac:dyDescent="0.2">
      <c r="B234" s="170" t="s">
        <v>105516</v>
      </c>
      <c r="C234" s="170" t="s">
        <v>105924</v>
      </c>
      <c r="D234" s="170" t="s">
        <v>105520</v>
      </c>
      <c r="E234" s="170" t="s">
        <v>105520</v>
      </c>
      <c r="F234" s="170" t="s">
        <v>105538</v>
      </c>
      <c r="G234" s="179" t="s">
        <v>105547</v>
      </c>
      <c r="H234" s="170"/>
      <c r="I234" s="170"/>
      <c r="J234" s="422"/>
      <c r="K234" s="170"/>
      <c r="L234" s="171"/>
      <c r="M234" s="172" t="s">
        <v>106657</v>
      </c>
      <c r="N234" s="173"/>
      <c r="O234" s="173"/>
      <c r="P234" s="174"/>
      <c r="Q234" s="174"/>
      <c r="R234" s="175">
        <f>+R235+R238</f>
        <v>287161340.19999999</v>
      </c>
      <c r="S234" s="175">
        <f>+S235+S238</f>
        <v>280000000</v>
      </c>
      <c r="T234" s="175">
        <f t="shared" ref="T234" si="93">+T235+T238</f>
        <v>210000000</v>
      </c>
      <c r="U234" s="175">
        <f>+U235+U238</f>
        <v>0</v>
      </c>
      <c r="V234" s="175"/>
      <c r="W234" s="176"/>
      <c r="X234" s="176"/>
      <c r="Y234" s="170"/>
    </row>
    <row r="235" spans="2:25" x14ac:dyDescent="0.2">
      <c r="B235" s="80" t="s">
        <v>105516</v>
      </c>
      <c r="C235" s="80" t="s">
        <v>105924</v>
      </c>
      <c r="D235" s="80" t="s">
        <v>105520</v>
      </c>
      <c r="E235" s="80" t="s">
        <v>105520</v>
      </c>
      <c r="F235" s="80" t="s">
        <v>105538</v>
      </c>
      <c r="G235" s="180" t="s">
        <v>105547</v>
      </c>
      <c r="H235" s="180" t="s">
        <v>105675</v>
      </c>
      <c r="I235" s="80"/>
      <c r="J235" s="416"/>
      <c r="K235" s="80"/>
      <c r="L235" s="436"/>
      <c r="M235" s="82" t="s">
        <v>106663</v>
      </c>
      <c r="N235" s="83"/>
      <c r="O235" s="83"/>
      <c r="P235" s="84"/>
      <c r="Q235" s="84"/>
      <c r="R235" s="85">
        <f>SUM(R236+R237)</f>
        <v>87161340.200000003</v>
      </c>
      <c r="S235" s="85">
        <f>SUM(S236+S237)</f>
        <v>80000000</v>
      </c>
      <c r="T235" s="85">
        <f t="shared" ref="T235" si="94">SUM(T236+T237)</f>
        <v>130000000</v>
      </c>
      <c r="U235" s="85">
        <f>SUM(U236+U237)</f>
        <v>0</v>
      </c>
      <c r="V235" s="85"/>
      <c r="W235" s="86"/>
      <c r="X235" s="86"/>
      <c r="Y235" s="341"/>
    </row>
    <row r="236" spans="2:25" ht="135" x14ac:dyDescent="0.2">
      <c r="B236" s="88"/>
      <c r="C236" s="89"/>
      <c r="D236" s="89"/>
      <c r="E236" s="89"/>
      <c r="F236" s="89"/>
      <c r="G236" s="89"/>
      <c r="H236" s="89"/>
      <c r="I236" s="89"/>
      <c r="J236" s="89"/>
      <c r="K236" s="96" t="s">
        <v>112210</v>
      </c>
      <c r="L236" s="91" t="s">
        <v>113282</v>
      </c>
      <c r="M236" s="102" t="s">
        <v>113504</v>
      </c>
      <c r="N236" s="93">
        <v>45809</v>
      </c>
      <c r="O236" s="93" t="s">
        <v>112997</v>
      </c>
      <c r="P236" s="94" t="s">
        <v>113007</v>
      </c>
      <c r="Q236" s="94" t="s">
        <v>113008</v>
      </c>
      <c r="R236" s="563">
        <v>52161340.200000003</v>
      </c>
      <c r="S236" s="314">
        <v>0</v>
      </c>
      <c r="T236" s="572">
        <v>50000000</v>
      </c>
      <c r="U236" s="563">
        <v>0</v>
      </c>
      <c r="V236" s="95"/>
      <c r="W236" s="96"/>
      <c r="X236" s="97"/>
      <c r="Y236" s="96" t="s">
        <v>113019</v>
      </c>
    </row>
    <row r="237" spans="2:25" ht="150" x14ac:dyDescent="0.2">
      <c r="B237" s="138"/>
      <c r="C237" s="139"/>
      <c r="D237" s="139"/>
      <c r="E237" s="139"/>
      <c r="F237" s="139"/>
      <c r="G237" s="139"/>
      <c r="H237" s="139"/>
      <c r="I237" s="139"/>
      <c r="J237" s="139"/>
      <c r="K237" s="96" t="s">
        <v>112210</v>
      </c>
      <c r="L237" s="181" t="s">
        <v>113382</v>
      </c>
      <c r="M237" s="102" t="s">
        <v>113711</v>
      </c>
      <c r="N237" s="93">
        <v>45839</v>
      </c>
      <c r="O237" s="93" t="s">
        <v>113010</v>
      </c>
      <c r="P237" s="94" t="s">
        <v>113007</v>
      </c>
      <c r="Q237" s="441" t="s">
        <v>112999</v>
      </c>
      <c r="R237" s="472">
        <v>35000000</v>
      </c>
      <c r="S237" s="95">
        <v>80000000</v>
      </c>
      <c r="T237" s="571">
        <v>80000000</v>
      </c>
      <c r="U237" s="472">
        <v>0</v>
      </c>
      <c r="V237" s="95"/>
      <c r="W237" s="96"/>
      <c r="X237" s="97"/>
      <c r="Y237" s="96" t="s">
        <v>113019</v>
      </c>
    </row>
    <row r="238" spans="2:25" x14ac:dyDescent="0.2">
      <c r="B238" s="80" t="s">
        <v>105516</v>
      </c>
      <c r="C238" s="80" t="s">
        <v>105924</v>
      </c>
      <c r="D238" s="80" t="s">
        <v>105520</v>
      </c>
      <c r="E238" s="80" t="s">
        <v>105520</v>
      </c>
      <c r="F238" s="80" t="s">
        <v>105538</v>
      </c>
      <c r="G238" s="180" t="s">
        <v>105547</v>
      </c>
      <c r="H238" s="180" t="s">
        <v>106109</v>
      </c>
      <c r="I238" s="80"/>
      <c r="J238" s="416"/>
      <c r="K238" s="80"/>
      <c r="L238" s="436"/>
      <c r="M238" s="109" t="s">
        <v>106667</v>
      </c>
      <c r="N238" s="83"/>
      <c r="O238" s="83"/>
      <c r="P238" s="84"/>
      <c r="Q238" s="84"/>
      <c r="R238" s="85">
        <f>+R239</f>
        <v>200000000</v>
      </c>
      <c r="S238" s="85">
        <f>+S239</f>
        <v>200000000</v>
      </c>
      <c r="T238" s="85">
        <f t="shared" ref="T238" si="95">+T239</f>
        <v>80000000</v>
      </c>
      <c r="U238" s="85">
        <f>+U239</f>
        <v>0</v>
      </c>
      <c r="V238" s="85"/>
      <c r="W238" s="86"/>
      <c r="X238" s="86"/>
      <c r="Y238" s="341"/>
    </row>
    <row r="239" spans="2:25" ht="90" x14ac:dyDescent="0.2">
      <c r="B239" s="138"/>
      <c r="C239" s="139"/>
      <c r="D239" s="139"/>
      <c r="E239" s="139"/>
      <c r="F239" s="139"/>
      <c r="G239" s="139"/>
      <c r="H239" s="139"/>
      <c r="I239" s="139"/>
      <c r="J239" s="139"/>
      <c r="K239" s="96" t="s">
        <v>112210</v>
      </c>
      <c r="L239" s="127" t="s">
        <v>113513</v>
      </c>
      <c r="M239" s="120" t="s">
        <v>113514</v>
      </c>
      <c r="N239" s="121">
        <v>45849</v>
      </c>
      <c r="O239" s="93" t="s">
        <v>113010</v>
      </c>
      <c r="P239" s="94" t="s">
        <v>112998</v>
      </c>
      <c r="Q239" s="132" t="s">
        <v>113096</v>
      </c>
      <c r="R239" s="472">
        <v>200000000</v>
      </c>
      <c r="S239" s="314">
        <v>200000000</v>
      </c>
      <c r="T239" s="571">
        <v>80000000</v>
      </c>
      <c r="U239" s="472">
        <v>0</v>
      </c>
      <c r="V239" s="95"/>
      <c r="W239" s="96"/>
      <c r="X239" s="97"/>
      <c r="Y239" s="96" t="s">
        <v>113019</v>
      </c>
    </row>
    <row r="240" spans="2:25" ht="30" x14ac:dyDescent="0.2">
      <c r="B240" s="170" t="s">
        <v>105516</v>
      </c>
      <c r="C240" s="170" t="s">
        <v>105924</v>
      </c>
      <c r="D240" s="170" t="s">
        <v>105520</v>
      </c>
      <c r="E240" s="170" t="s">
        <v>105520</v>
      </c>
      <c r="F240" s="170" t="s">
        <v>105538</v>
      </c>
      <c r="G240" s="170" t="s">
        <v>105550</v>
      </c>
      <c r="H240" s="170"/>
      <c r="I240" s="170"/>
      <c r="J240" s="422"/>
      <c r="K240" s="170"/>
      <c r="L240" s="171"/>
      <c r="M240" s="172" t="s">
        <v>106669</v>
      </c>
      <c r="N240" s="173"/>
      <c r="O240" s="173"/>
      <c r="P240" s="174"/>
      <c r="Q240" s="174"/>
      <c r="R240" s="175">
        <f>+R241</f>
        <v>200000000</v>
      </c>
      <c r="S240" s="175">
        <f t="shared" ref="S240:T241" si="96">+S241</f>
        <v>120000000</v>
      </c>
      <c r="T240" s="175">
        <f t="shared" si="96"/>
        <v>120000000</v>
      </c>
      <c r="U240" s="175">
        <f>+U241</f>
        <v>0</v>
      </c>
      <c r="V240" s="175"/>
      <c r="W240" s="176"/>
      <c r="X240" s="176"/>
      <c r="Y240" s="170"/>
    </row>
    <row r="241" spans="2:25" x14ac:dyDescent="0.2">
      <c r="B241" s="80" t="s">
        <v>105516</v>
      </c>
      <c r="C241" s="80" t="s">
        <v>105924</v>
      </c>
      <c r="D241" s="80" t="s">
        <v>105520</v>
      </c>
      <c r="E241" s="80" t="s">
        <v>105520</v>
      </c>
      <c r="F241" s="80" t="s">
        <v>105538</v>
      </c>
      <c r="G241" s="80" t="s">
        <v>105550</v>
      </c>
      <c r="H241" s="80" t="s">
        <v>105520</v>
      </c>
      <c r="I241" s="80"/>
      <c r="J241" s="416"/>
      <c r="K241" s="80"/>
      <c r="L241" s="436"/>
      <c r="M241" s="82" t="s">
        <v>106671</v>
      </c>
      <c r="N241" s="83"/>
      <c r="O241" s="83"/>
      <c r="P241" s="84"/>
      <c r="Q241" s="84"/>
      <c r="R241" s="85">
        <f>+R242</f>
        <v>200000000</v>
      </c>
      <c r="S241" s="85">
        <f t="shared" si="96"/>
        <v>120000000</v>
      </c>
      <c r="T241" s="85">
        <f t="shared" si="96"/>
        <v>120000000</v>
      </c>
      <c r="U241" s="85">
        <f>+U242</f>
        <v>0</v>
      </c>
      <c r="V241" s="85"/>
      <c r="W241" s="86"/>
      <c r="X241" s="86"/>
      <c r="Y241" s="341"/>
    </row>
    <row r="242" spans="2:25" ht="60" x14ac:dyDescent="0.2">
      <c r="B242" s="88"/>
      <c r="C242" s="89"/>
      <c r="D242" s="89"/>
      <c r="E242" s="89"/>
      <c r="F242" s="89"/>
      <c r="G242" s="89"/>
      <c r="H242" s="89"/>
      <c r="I242" s="89"/>
      <c r="J242" s="89"/>
      <c r="K242" s="96" t="s">
        <v>112216</v>
      </c>
      <c r="L242" s="91">
        <v>30171600</v>
      </c>
      <c r="M242" s="102" t="s">
        <v>113730</v>
      </c>
      <c r="N242" s="93">
        <v>45337</v>
      </c>
      <c r="O242" s="93" t="s">
        <v>113001</v>
      </c>
      <c r="P242" s="94" t="s">
        <v>113004</v>
      </c>
      <c r="Q242" s="94" t="s">
        <v>112999</v>
      </c>
      <c r="R242" s="472">
        <v>200000000</v>
      </c>
      <c r="S242" s="497">
        <v>120000000</v>
      </c>
      <c r="T242" s="571">
        <v>120000000</v>
      </c>
      <c r="U242" s="472">
        <v>0</v>
      </c>
      <c r="V242" s="95"/>
      <c r="W242" s="96" t="s">
        <v>106081</v>
      </c>
      <c r="X242" s="97"/>
      <c r="Y242" s="96" t="s">
        <v>113000</v>
      </c>
    </row>
    <row r="243" spans="2:25" x14ac:dyDescent="0.2">
      <c r="B243" s="63" t="s">
        <v>105516</v>
      </c>
      <c r="C243" s="63" t="s">
        <v>105924</v>
      </c>
      <c r="D243" s="63" t="s">
        <v>105520</v>
      </c>
      <c r="E243" s="63" t="s">
        <v>105520</v>
      </c>
      <c r="F243" s="182" t="s">
        <v>105541</v>
      </c>
      <c r="G243" s="63"/>
      <c r="H243" s="63"/>
      <c r="I243" s="63"/>
      <c r="J243" s="414"/>
      <c r="K243" s="254"/>
      <c r="L243" s="65"/>
      <c r="M243" s="66" t="s">
        <v>112242</v>
      </c>
      <c r="N243" s="67"/>
      <c r="O243" s="67"/>
      <c r="P243" s="68"/>
      <c r="Q243" s="68"/>
      <c r="R243" s="69">
        <f>+R244+R247</f>
        <v>285598659.80000001</v>
      </c>
      <c r="S243" s="69">
        <f>+S244+S247</f>
        <v>70000000</v>
      </c>
      <c r="T243" s="69">
        <f t="shared" ref="T243" si="97">+T244+T247</f>
        <v>216000000</v>
      </c>
      <c r="U243" s="69">
        <f>+U244+U247</f>
        <v>0</v>
      </c>
      <c r="V243" s="69"/>
      <c r="W243" s="70"/>
      <c r="X243" s="70"/>
      <c r="Y243" s="254"/>
    </row>
    <row r="244" spans="2:25" ht="30" x14ac:dyDescent="0.2">
      <c r="B244" s="170" t="s">
        <v>105516</v>
      </c>
      <c r="C244" s="170" t="s">
        <v>105924</v>
      </c>
      <c r="D244" s="170" t="s">
        <v>105520</v>
      </c>
      <c r="E244" s="170" t="s">
        <v>105520</v>
      </c>
      <c r="F244" s="170" t="s">
        <v>105541</v>
      </c>
      <c r="G244" s="170" t="s">
        <v>105535</v>
      </c>
      <c r="H244" s="170"/>
      <c r="I244" s="170"/>
      <c r="J244" s="422"/>
      <c r="K244" s="170"/>
      <c r="L244" s="171"/>
      <c r="M244" s="172" t="s">
        <v>106709</v>
      </c>
      <c r="N244" s="173"/>
      <c r="O244" s="173"/>
      <c r="P244" s="174"/>
      <c r="Q244" s="174"/>
      <c r="R244" s="175">
        <f>SUM(R245:R246)</f>
        <v>252838659.80000001</v>
      </c>
      <c r="S244" s="175">
        <f>SUM(S245:S246)</f>
        <v>0</v>
      </c>
      <c r="T244" s="175">
        <f t="shared" ref="T244" si="98">SUM(T245:T246)</f>
        <v>181000000</v>
      </c>
      <c r="U244" s="175">
        <f>SUM(U245:U246)</f>
        <v>0</v>
      </c>
      <c r="V244" s="175"/>
      <c r="W244" s="176"/>
      <c r="X244" s="176"/>
      <c r="Y244" s="170"/>
    </row>
    <row r="245" spans="2:25" ht="45" x14ac:dyDescent="0.2">
      <c r="B245" s="88"/>
      <c r="C245" s="89"/>
      <c r="D245" s="89"/>
      <c r="E245" s="89"/>
      <c r="F245" s="89"/>
      <c r="G245" s="89"/>
      <c r="H245" s="89"/>
      <c r="I245" s="89"/>
      <c r="J245" s="89"/>
      <c r="K245" s="96" t="s">
        <v>112244</v>
      </c>
      <c r="L245" s="181" t="s">
        <v>113383</v>
      </c>
      <c r="M245" s="102" t="s">
        <v>113384</v>
      </c>
      <c r="N245" s="121">
        <v>45819</v>
      </c>
      <c r="O245" s="93" t="s">
        <v>112997</v>
      </c>
      <c r="P245" s="94" t="s">
        <v>112998</v>
      </c>
      <c r="Q245" s="94" t="s">
        <v>112999</v>
      </c>
      <c r="R245" s="472">
        <v>185000000</v>
      </c>
      <c r="S245" s="314">
        <v>0</v>
      </c>
      <c r="T245" s="472">
        <v>131000000</v>
      </c>
      <c r="U245" s="472"/>
      <c r="V245" s="95"/>
      <c r="W245" s="96"/>
      <c r="X245" s="97"/>
      <c r="Y245" s="96" t="s">
        <v>113019</v>
      </c>
    </row>
    <row r="246" spans="2:25" ht="135" x14ac:dyDescent="0.2">
      <c r="B246" s="88"/>
      <c r="C246" s="89"/>
      <c r="D246" s="89"/>
      <c r="E246" s="89"/>
      <c r="F246" s="89"/>
      <c r="G246" s="89"/>
      <c r="H246" s="89"/>
      <c r="I246" s="89"/>
      <c r="J246" s="89"/>
      <c r="K246" s="96" t="s">
        <v>112244</v>
      </c>
      <c r="L246" s="91" t="s">
        <v>113282</v>
      </c>
      <c r="M246" s="102" t="s">
        <v>113504</v>
      </c>
      <c r="N246" s="93">
        <v>45809</v>
      </c>
      <c r="O246" s="93" t="s">
        <v>112997</v>
      </c>
      <c r="P246" s="94" t="s">
        <v>113007</v>
      </c>
      <c r="Q246" s="94" t="s">
        <v>113008</v>
      </c>
      <c r="R246" s="472">
        <v>67838659.799999997</v>
      </c>
      <c r="S246" s="314">
        <v>0</v>
      </c>
      <c r="T246" s="472">
        <v>50000000</v>
      </c>
      <c r="U246" s="472"/>
      <c r="V246" s="95"/>
      <c r="W246" s="96"/>
      <c r="X246" s="97"/>
      <c r="Y246" s="96" t="s">
        <v>113019</v>
      </c>
    </row>
    <row r="247" spans="2:25" x14ac:dyDescent="0.2">
      <c r="B247" s="170" t="s">
        <v>105516</v>
      </c>
      <c r="C247" s="170" t="s">
        <v>105924</v>
      </c>
      <c r="D247" s="170" t="s">
        <v>105520</v>
      </c>
      <c r="E247" s="170" t="s">
        <v>105520</v>
      </c>
      <c r="F247" s="170" t="s">
        <v>105541</v>
      </c>
      <c r="G247" s="179" t="s">
        <v>105547</v>
      </c>
      <c r="H247" s="170"/>
      <c r="I247" s="170"/>
      <c r="J247" s="422"/>
      <c r="K247" s="170"/>
      <c r="L247" s="171"/>
      <c r="M247" s="307" t="s">
        <v>106270</v>
      </c>
      <c r="N247" s="173"/>
      <c r="O247" s="173"/>
      <c r="P247" s="174"/>
      <c r="Q247" s="174"/>
      <c r="R247" s="175">
        <f>+R248</f>
        <v>32760000</v>
      </c>
      <c r="S247" s="175">
        <f>+S248</f>
        <v>70000000</v>
      </c>
      <c r="T247" s="175">
        <f t="shared" ref="T247" si="99">+T248</f>
        <v>35000000</v>
      </c>
      <c r="U247" s="175">
        <f>+U248</f>
        <v>0</v>
      </c>
      <c r="V247" s="175"/>
      <c r="W247" s="176"/>
      <c r="X247" s="176"/>
      <c r="Y247" s="170"/>
    </row>
    <row r="248" spans="2:25" ht="45" x14ac:dyDescent="0.2">
      <c r="B248" s="88"/>
      <c r="C248" s="89"/>
      <c r="D248" s="89"/>
      <c r="E248" s="89"/>
      <c r="F248" s="89"/>
      <c r="G248" s="89"/>
      <c r="H248" s="89"/>
      <c r="I248" s="89"/>
      <c r="J248" s="89"/>
      <c r="K248" s="96" t="s">
        <v>112266</v>
      </c>
      <c r="L248" s="181">
        <v>46171619</v>
      </c>
      <c r="M248" s="102" t="s">
        <v>113789</v>
      </c>
      <c r="N248" s="93">
        <v>45731</v>
      </c>
      <c r="O248" s="93" t="s">
        <v>113006</v>
      </c>
      <c r="P248" s="94" t="s">
        <v>113011</v>
      </c>
      <c r="Q248" s="94" t="s">
        <v>112999</v>
      </c>
      <c r="R248" s="472">
        <v>32760000</v>
      </c>
      <c r="S248" s="95">
        <v>70000000</v>
      </c>
      <c r="T248" s="571">
        <v>35000000</v>
      </c>
      <c r="U248" s="472">
        <v>0</v>
      </c>
      <c r="V248" s="95"/>
      <c r="W248" s="96" t="s">
        <v>106081</v>
      </c>
      <c r="X248" s="97"/>
      <c r="Y248" s="96" t="s">
        <v>113000</v>
      </c>
    </row>
    <row r="249" spans="2:25" ht="15.75" x14ac:dyDescent="0.2">
      <c r="B249" s="162" t="s">
        <v>105516</v>
      </c>
      <c r="C249" s="162" t="s">
        <v>105924</v>
      </c>
      <c r="D249" s="162" t="s">
        <v>105520</v>
      </c>
      <c r="E249" s="162" t="s">
        <v>105573</v>
      </c>
      <c r="F249" s="162"/>
      <c r="G249" s="162"/>
      <c r="H249" s="162"/>
      <c r="I249" s="162"/>
      <c r="J249" s="421"/>
      <c r="K249" s="162"/>
      <c r="L249" s="163">
        <v>30171700</v>
      </c>
      <c r="M249" s="164" t="s">
        <v>106777</v>
      </c>
      <c r="N249" s="165"/>
      <c r="O249" s="165"/>
      <c r="P249" s="166"/>
      <c r="Q249" s="166"/>
      <c r="R249" s="167">
        <f>SUM(R250+R272+R276+R288)</f>
        <v>12101940000</v>
      </c>
      <c r="S249" s="167">
        <f>SUM(S250+S272+S276+S288)</f>
        <v>15693200000</v>
      </c>
      <c r="T249" s="167">
        <f t="shared" ref="T249" si="100">SUM(T250+T272+T276+T288)</f>
        <v>15685000000</v>
      </c>
      <c r="U249" s="167">
        <f>SUM(U250+U272+U276+U288)</f>
        <v>496560000</v>
      </c>
      <c r="V249" s="167"/>
      <c r="W249" s="168"/>
      <c r="X249" s="168"/>
      <c r="Y249" s="403"/>
    </row>
    <row r="250" spans="2:25" x14ac:dyDescent="0.2">
      <c r="B250" s="63" t="s">
        <v>105516</v>
      </c>
      <c r="C250" s="63" t="s">
        <v>105924</v>
      </c>
      <c r="D250" s="63" t="s">
        <v>105520</v>
      </c>
      <c r="E250" s="63" t="s">
        <v>105573</v>
      </c>
      <c r="F250" s="63" t="s">
        <v>105544</v>
      </c>
      <c r="G250" s="63"/>
      <c r="H250" s="63"/>
      <c r="I250" s="63"/>
      <c r="J250" s="414"/>
      <c r="K250" s="254"/>
      <c r="L250" s="65">
        <v>75153000</v>
      </c>
      <c r="M250" s="66" t="s">
        <v>106779</v>
      </c>
      <c r="N250" s="67"/>
      <c r="O250" s="67"/>
      <c r="P250" s="68"/>
      <c r="Q250" s="68"/>
      <c r="R250" s="69">
        <f>+R251</f>
        <v>8555546027.9899998</v>
      </c>
      <c r="S250" s="69">
        <f>+S251</f>
        <v>8518441000</v>
      </c>
      <c r="T250" s="69">
        <f t="shared" ref="T250" si="101">+T251</f>
        <v>8487241000</v>
      </c>
      <c r="U250" s="69">
        <f>+U251</f>
        <v>496560000</v>
      </c>
      <c r="V250" s="69"/>
      <c r="W250" s="70"/>
      <c r="X250" s="70"/>
      <c r="Y250" s="254"/>
    </row>
    <row r="251" spans="2:25" x14ac:dyDescent="0.2">
      <c r="B251" s="170" t="s">
        <v>105516</v>
      </c>
      <c r="C251" s="170" t="s">
        <v>105924</v>
      </c>
      <c r="D251" s="170" t="s">
        <v>105520</v>
      </c>
      <c r="E251" s="170" t="s">
        <v>105573</v>
      </c>
      <c r="F251" s="170" t="s">
        <v>105544</v>
      </c>
      <c r="G251" s="170" t="s">
        <v>105541</v>
      </c>
      <c r="H251" s="170"/>
      <c r="I251" s="170"/>
      <c r="J251" s="422"/>
      <c r="K251" s="170"/>
      <c r="L251" s="171"/>
      <c r="M251" s="183" t="s">
        <v>106781</v>
      </c>
      <c r="N251" s="173"/>
      <c r="O251" s="173"/>
      <c r="P251" s="174"/>
      <c r="Q251" s="174"/>
      <c r="R251" s="175">
        <f>+R252+R260+R266</f>
        <v>8555546027.9899998</v>
      </c>
      <c r="S251" s="175">
        <f>+S252+S260+S266</f>
        <v>8518441000</v>
      </c>
      <c r="T251" s="175">
        <f t="shared" ref="T251" si="102">+T252+T260+T266</f>
        <v>8487241000</v>
      </c>
      <c r="U251" s="175">
        <f>+U252+U260+U266</f>
        <v>496560000</v>
      </c>
      <c r="V251" s="175"/>
      <c r="W251" s="176"/>
      <c r="X251" s="176"/>
      <c r="Y251" s="170"/>
    </row>
    <row r="252" spans="2:25" x14ac:dyDescent="0.2">
      <c r="B252" s="80" t="s">
        <v>105516</v>
      </c>
      <c r="C252" s="80" t="s">
        <v>105924</v>
      </c>
      <c r="D252" s="80" t="s">
        <v>105520</v>
      </c>
      <c r="E252" s="80" t="s">
        <v>105573</v>
      </c>
      <c r="F252" s="80" t="s">
        <v>105544</v>
      </c>
      <c r="G252" s="80" t="s">
        <v>105541</v>
      </c>
      <c r="H252" s="80" t="s">
        <v>105924</v>
      </c>
      <c r="I252" s="80"/>
      <c r="J252" s="416"/>
      <c r="K252" s="80"/>
      <c r="L252" s="436"/>
      <c r="M252" s="82" t="s">
        <v>106811</v>
      </c>
      <c r="N252" s="83"/>
      <c r="O252" s="83"/>
      <c r="P252" s="84"/>
      <c r="Q252" s="84"/>
      <c r="R252" s="85">
        <f>SUM(R253:R259)</f>
        <v>7145696027.9899998</v>
      </c>
      <c r="S252" s="85">
        <f>SUM(S253:S259)</f>
        <v>6681440000</v>
      </c>
      <c r="T252" s="85">
        <f t="shared" ref="T252" si="103">SUM(T253:T259)</f>
        <v>6584490000</v>
      </c>
      <c r="U252" s="85">
        <f>SUM(U253:U259)</f>
        <v>496560000</v>
      </c>
      <c r="V252" s="85"/>
      <c r="W252" s="86"/>
      <c r="X252" s="86"/>
      <c r="Y252" s="341"/>
    </row>
    <row r="253" spans="2:25" ht="300" x14ac:dyDescent="0.2">
      <c r="B253" s="88"/>
      <c r="C253" s="89"/>
      <c r="D253" s="89"/>
      <c r="E253" s="89"/>
      <c r="F253" s="89"/>
      <c r="G253" s="89"/>
      <c r="H253" s="89"/>
      <c r="I253" s="89"/>
      <c r="J253" s="89"/>
      <c r="K253" s="96" t="s">
        <v>112301</v>
      </c>
      <c r="L253" s="91" t="s">
        <v>113131</v>
      </c>
      <c r="M253" s="92" t="s">
        <v>113530</v>
      </c>
      <c r="N253" s="93">
        <v>45672</v>
      </c>
      <c r="O253" s="93" t="s">
        <v>113060</v>
      </c>
      <c r="P253" s="94" t="s">
        <v>113022</v>
      </c>
      <c r="Q253" s="94" t="s">
        <v>113038</v>
      </c>
      <c r="R253" s="472">
        <v>6101477401.3199997</v>
      </c>
      <c r="S253" s="314">
        <v>6000000000</v>
      </c>
      <c r="T253" s="571">
        <f>6000000000-714810000+218250000</f>
        <v>5503440000</v>
      </c>
      <c r="U253" s="472">
        <f>+S253-T253</f>
        <v>496560000</v>
      </c>
      <c r="V253" s="95"/>
      <c r="W253" s="96" t="s">
        <v>106081</v>
      </c>
      <c r="X253" s="129"/>
      <c r="Y253" s="96" t="s">
        <v>113000</v>
      </c>
    </row>
    <row r="254" spans="2:25" ht="60" x14ac:dyDescent="0.2">
      <c r="B254" s="88"/>
      <c r="C254" s="89"/>
      <c r="D254" s="89"/>
      <c r="E254" s="89"/>
      <c r="F254" s="89"/>
      <c r="G254" s="89"/>
      <c r="H254" s="89"/>
      <c r="I254" s="89"/>
      <c r="J254" s="89"/>
      <c r="K254" s="96" t="s">
        <v>112301</v>
      </c>
      <c r="L254" s="91" t="s">
        <v>113133</v>
      </c>
      <c r="M254" s="92" t="s">
        <v>113728</v>
      </c>
      <c r="N254" s="93"/>
      <c r="O254" s="93"/>
      <c r="P254" s="94"/>
      <c r="Q254" s="94"/>
      <c r="R254" s="472">
        <f>225120000+75040000</f>
        <v>300160000</v>
      </c>
      <c r="S254" s="314">
        <v>318240000</v>
      </c>
      <c r="T254" s="571">
        <v>318240000</v>
      </c>
      <c r="U254" s="472">
        <v>0</v>
      </c>
      <c r="V254" s="95"/>
      <c r="W254" s="96" t="s">
        <v>106081</v>
      </c>
      <c r="X254" s="129"/>
      <c r="Y254" s="96" t="s">
        <v>113000</v>
      </c>
    </row>
    <row r="255" spans="2:25" ht="75" x14ac:dyDescent="0.2">
      <c r="B255" s="88"/>
      <c r="C255" s="89"/>
      <c r="D255" s="89"/>
      <c r="E255" s="89"/>
      <c r="F255" s="89"/>
      <c r="G255" s="89"/>
      <c r="H255" s="89"/>
      <c r="I255" s="89"/>
      <c r="J255" s="89"/>
      <c r="K255" s="96" t="s">
        <v>112301</v>
      </c>
      <c r="L255" s="91" t="s">
        <v>113133</v>
      </c>
      <c r="M255" s="92" t="s">
        <v>113731</v>
      </c>
      <c r="N255" s="93">
        <v>45838</v>
      </c>
      <c r="O255" s="93" t="s">
        <v>112997</v>
      </c>
      <c r="P255" s="94" t="s">
        <v>113007</v>
      </c>
      <c r="Q255" s="94" t="s">
        <v>113069</v>
      </c>
      <c r="R255" s="472">
        <v>166401960</v>
      </c>
      <c r="S255" s="314">
        <v>0</v>
      </c>
      <c r="T255" s="472">
        <v>159120000</v>
      </c>
      <c r="U255" s="472"/>
      <c r="V255" s="95"/>
      <c r="W255" s="96" t="s">
        <v>105533</v>
      </c>
      <c r="X255" s="313">
        <f>CEILING(((S255/4*8)*1.05),10000)</f>
        <v>0</v>
      </c>
      <c r="Y255" s="96" t="s">
        <v>113000</v>
      </c>
    </row>
    <row r="256" spans="2:25" ht="90" x14ac:dyDescent="0.2">
      <c r="B256" s="88"/>
      <c r="C256" s="89"/>
      <c r="D256" s="89"/>
      <c r="E256" s="89"/>
      <c r="F256" s="89"/>
      <c r="G256" s="89"/>
      <c r="H256" s="89"/>
      <c r="I256" s="89"/>
      <c r="J256" s="89"/>
      <c r="K256" s="96" t="s">
        <v>112301</v>
      </c>
      <c r="L256" s="91">
        <v>72154100</v>
      </c>
      <c r="M256" s="92" t="s">
        <v>113732</v>
      </c>
      <c r="N256" s="93"/>
      <c r="O256" s="93"/>
      <c r="P256" s="94"/>
      <c r="Q256" s="93"/>
      <c r="R256" s="472">
        <v>256260000</v>
      </c>
      <c r="S256" s="314">
        <v>363200000</v>
      </c>
      <c r="T256" s="571">
        <v>363200000</v>
      </c>
      <c r="U256" s="472">
        <v>0</v>
      </c>
      <c r="V256" s="95"/>
      <c r="W256" s="96" t="s">
        <v>106081</v>
      </c>
      <c r="X256" s="97"/>
      <c r="Y256" s="96" t="s">
        <v>113000</v>
      </c>
    </row>
    <row r="257" spans="2:25" ht="90" x14ac:dyDescent="0.2">
      <c r="B257" s="88"/>
      <c r="C257" s="89"/>
      <c r="D257" s="89"/>
      <c r="E257" s="89"/>
      <c r="F257" s="89"/>
      <c r="G257" s="89"/>
      <c r="H257" s="89"/>
      <c r="I257" s="89"/>
      <c r="J257" s="89"/>
      <c r="K257" s="96" t="s">
        <v>112301</v>
      </c>
      <c r="L257" s="91">
        <v>72154100</v>
      </c>
      <c r="M257" s="92" t="s">
        <v>113733</v>
      </c>
      <c r="N257" s="93">
        <v>45838</v>
      </c>
      <c r="O257" s="93" t="s">
        <v>112997</v>
      </c>
      <c r="P257" s="94" t="s">
        <v>113007</v>
      </c>
      <c r="Q257" s="94" t="s">
        <v>113069</v>
      </c>
      <c r="R257" s="472">
        <f>85646666.67+180200000</f>
        <v>265846666.67000002</v>
      </c>
      <c r="S257" s="314">
        <v>0</v>
      </c>
      <c r="T257" s="472">
        <v>181600000</v>
      </c>
      <c r="U257" s="472">
        <v>0</v>
      </c>
      <c r="V257" s="95"/>
      <c r="W257" s="96" t="s">
        <v>105533</v>
      </c>
      <c r="X257" s="313">
        <f>CEILING(((S257/4*8)*1.05),10000)</f>
        <v>0</v>
      </c>
      <c r="Y257" s="96" t="s">
        <v>113000</v>
      </c>
    </row>
    <row r="258" spans="2:25" ht="45" x14ac:dyDescent="0.2">
      <c r="B258" s="88"/>
      <c r="C258" s="89"/>
      <c r="D258" s="89"/>
      <c r="E258" s="89"/>
      <c r="F258" s="89"/>
      <c r="G258" s="89"/>
      <c r="H258" s="89"/>
      <c r="I258" s="89"/>
      <c r="J258" s="89"/>
      <c r="K258" s="96" t="s">
        <v>112301</v>
      </c>
      <c r="L258" s="91" t="s">
        <v>113111</v>
      </c>
      <c r="M258" s="92" t="s">
        <v>113112</v>
      </c>
      <c r="N258" s="93">
        <v>45868</v>
      </c>
      <c r="O258" s="93" t="s">
        <v>113010</v>
      </c>
      <c r="P258" s="132" t="s">
        <v>112998</v>
      </c>
      <c r="Q258" s="93" t="s">
        <v>113052</v>
      </c>
      <c r="R258" s="477">
        <v>25550000</v>
      </c>
      <c r="S258" s="497">
        <v>0</v>
      </c>
      <c r="T258" s="477">
        <v>27090000</v>
      </c>
      <c r="U258" s="477">
        <v>0</v>
      </c>
      <c r="V258" s="118"/>
      <c r="W258" s="96" t="s">
        <v>106081</v>
      </c>
      <c r="X258" s="141"/>
      <c r="Y258" s="96" t="s">
        <v>113000</v>
      </c>
    </row>
    <row r="259" spans="2:25" ht="60" x14ac:dyDescent="0.2">
      <c r="B259" s="88"/>
      <c r="C259" s="89"/>
      <c r="D259" s="89"/>
      <c r="E259" s="89"/>
      <c r="F259" s="89"/>
      <c r="G259" s="89"/>
      <c r="H259" s="89"/>
      <c r="I259" s="89"/>
      <c r="J259" s="89"/>
      <c r="K259" s="96" t="s">
        <v>112301</v>
      </c>
      <c r="L259" s="91">
        <v>72154100</v>
      </c>
      <c r="M259" s="92" t="s">
        <v>113734</v>
      </c>
      <c r="N259" s="93">
        <v>45868</v>
      </c>
      <c r="O259" s="93" t="s">
        <v>113010</v>
      </c>
      <c r="P259" s="132" t="s">
        <v>112998</v>
      </c>
      <c r="Q259" s="93" t="s">
        <v>113052</v>
      </c>
      <c r="R259" s="472">
        <v>30000000</v>
      </c>
      <c r="S259" s="497">
        <v>0</v>
      </c>
      <c r="T259" s="472">
        <v>31800000</v>
      </c>
      <c r="U259" s="472">
        <v>0</v>
      </c>
      <c r="V259" s="95"/>
      <c r="W259" s="186" t="s">
        <v>106081</v>
      </c>
      <c r="X259" s="184"/>
      <c r="Y259" s="96" t="s">
        <v>113000</v>
      </c>
    </row>
    <row r="260" spans="2:25" x14ac:dyDescent="0.2">
      <c r="B260" s="80" t="s">
        <v>105516</v>
      </c>
      <c r="C260" s="80" t="s">
        <v>105924</v>
      </c>
      <c r="D260" s="80" t="s">
        <v>105520</v>
      </c>
      <c r="E260" s="80" t="s">
        <v>105573</v>
      </c>
      <c r="F260" s="80" t="s">
        <v>105544</v>
      </c>
      <c r="G260" s="80" t="s">
        <v>105541</v>
      </c>
      <c r="H260" s="80" t="s">
        <v>106100</v>
      </c>
      <c r="I260" s="80"/>
      <c r="J260" s="416"/>
      <c r="K260" s="80"/>
      <c r="L260" s="436"/>
      <c r="M260" s="82" t="s">
        <v>106813</v>
      </c>
      <c r="N260" s="83"/>
      <c r="O260" s="83"/>
      <c r="P260" s="84"/>
      <c r="Q260" s="84"/>
      <c r="R260" s="85">
        <f>SUM(R261:R265)</f>
        <v>89050000</v>
      </c>
      <c r="S260" s="85">
        <f>SUM(S261:S265)</f>
        <v>218340000</v>
      </c>
      <c r="T260" s="85">
        <f t="shared" ref="T260" si="104">SUM(T261:T265)</f>
        <v>218340000</v>
      </c>
      <c r="U260" s="85">
        <f>SUM(U261:U265)</f>
        <v>0</v>
      </c>
      <c r="V260" s="85"/>
      <c r="W260" s="86"/>
      <c r="X260" s="86"/>
      <c r="Y260" s="341"/>
    </row>
    <row r="261" spans="2:25" ht="45" x14ac:dyDescent="0.2">
      <c r="B261" s="88"/>
      <c r="C261" s="89"/>
      <c r="D261" s="89"/>
      <c r="E261" s="89"/>
      <c r="F261" s="89"/>
      <c r="G261" s="89"/>
      <c r="H261" s="89"/>
      <c r="I261" s="89"/>
      <c r="J261" s="89"/>
      <c r="K261" s="96" t="s">
        <v>112301</v>
      </c>
      <c r="L261" s="55">
        <v>72101500</v>
      </c>
      <c r="M261" s="102" t="s">
        <v>113781</v>
      </c>
      <c r="N261" s="93">
        <v>45667</v>
      </c>
      <c r="O261" s="93" t="s">
        <v>113060</v>
      </c>
      <c r="P261" s="94" t="s">
        <v>113011</v>
      </c>
      <c r="Q261" s="94" t="s">
        <v>113053</v>
      </c>
      <c r="R261" s="472">
        <v>29700000</v>
      </c>
      <c r="S261" s="565">
        <v>31570000</v>
      </c>
      <c r="T261" s="571">
        <v>31570000</v>
      </c>
      <c r="U261" s="472">
        <v>0</v>
      </c>
      <c r="V261" s="95"/>
      <c r="W261" s="96" t="s">
        <v>106081</v>
      </c>
      <c r="X261" s="187"/>
      <c r="Y261" s="96" t="s">
        <v>113000</v>
      </c>
    </row>
    <row r="262" spans="2:25" ht="61.5" customHeight="1" x14ac:dyDescent="0.2">
      <c r="B262" s="88"/>
      <c r="C262" s="89"/>
      <c r="D262" s="89"/>
      <c r="E262" s="89"/>
      <c r="F262" s="89"/>
      <c r="G262" s="89"/>
      <c r="H262" s="89"/>
      <c r="I262" s="89"/>
      <c r="J262" s="89"/>
      <c r="K262" s="96" t="s">
        <v>112301</v>
      </c>
      <c r="L262" s="55">
        <v>72101500</v>
      </c>
      <c r="M262" s="102" t="s">
        <v>113750</v>
      </c>
      <c r="N262" s="93">
        <v>45667</v>
      </c>
      <c r="O262" s="93" t="s">
        <v>113060</v>
      </c>
      <c r="P262" s="94" t="s">
        <v>113011</v>
      </c>
      <c r="Q262" s="94" t="s">
        <v>113053</v>
      </c>
      <c r="R262" s="472"/>
      <c r="S262" s="565">
        <v>35200000</v>
      </c>
      <c r="T262" s="571">
        <v>35200000</v>
      </c>
      <c r="U262" s="472"/>
      <c r="V262" s="95"/>
      <c r="W262" s="96"/>
      <c r="X262" s="187"/>
      <c r="Y262" s="96" t="s">
        <v>113000</v>
      </c>
    </row>
    <row r="263" spans="2:25" ht="59.25" customHeight="1" x14ac:dyDescent="0.2">
      <c r="B263" s="88"/>
      <c r="C263" s="89"/>
      <c r="D263" s="89"/>
      <c r="E263" s="89"/>
      <c r="F263" s="89"/>
      <c r="G263" s="89"/>
      <c r="H263" s="89"/>
      <c r="I263" s="89"/>
      <c r="J263" s="89"/>
      <c r="K263" s="96" t="s">
        <v>112301</v>
      </c>
      <c r="L263" s="91">
        <v>72151500</v>
      </c>
      <c r="M263" s="92" t="s">
        <v>113782</v>
      </c>
      <c r="N263" s="93">
        <v>45667</v>
      </c>
      <c r="O263" s="93" t="s">
        <v>113060</v>
      </c>
      <c r="P263" s="94" t="s">
        <v>113011</v>
      </c>
      <c r="Q263" s="94" t="s">
        <v>113053</v>
      </c>
      <c r="R263" s="472">
        <v>17000000</v>
      </c>
      <c r="S263" s="565">
        <v>31570000</v>
      </c>
      <c r="T263" s="571">
        <v>31570000</v>
      </c>
      <c r="U263" s="472">
        <v>0</v>
      </c>
      <c r="V263" s="95"/>
      <c r="W263" s="96" t="s">
        <v>106081</v>
      </c>
      <c r="X263" s="187"/>
      <c r="Y263" s="96" t="s">
        <v>113000</v>
      </c>
    </row>
    <row r="264" spans="2:25" ht="60" x14ac:dyDescent="0.2">
      <c r="B264" s="88"/>
      <c r="C264" s="89"/>
      <c r="D264" s="89"/>
      <c r="E264" s="89"/>
      <c r="F264" s="89"/>
      <c r="G264" s="89"/>
      <c r="H264" s="89"/>
      <c r="I264" s="89"/>
      <c r="J264" s="89"/>
      <c r="K264" s="96" t="s">
        <v>112301</v>
      </c>
      <c r="L264" s="91" t="s">
        <v>113137</v>
      </c>
      <c r="M264" s="102" t="s">
        <v>113790</v>
      </c>
      <c r="N264" s="93">
        <v>45705</v>
      </c>
      <c r="O264" s="93" t="s">
        <v>113001</v>
      </c>
      <c r="P264" s="94" t="s">
        <v>113022</v>
      </c>
      <c r="Q264" s="94" t="s">
        <v>113096</v>
      </c>
      <c r="R264" s="472">
        <v>30000000</v>
      </c>
      <c r="S264" s="314">
        <v>120000000</v>
      </c>
      <c r="T264" s="571">
        <v>120000000</v>
      </c>
      <c r="U264" s="472">
        <v>0</v>
      </c>
      <c r="V264" s="95"/>
      <c r="W264" s="96"/>
      <c r="X264" s="187"/>
      <c r="Y264" s="96" t="s">
        <v>113003</v>
      </c>
    </row>
    <row r="265" spans="2:25" ht="45" x14ac:dyDescent="0.2">
      <c r="B265" s="88"/>
      <c r="C265" s="89"/>
      <c r="D265" s="89"/>
      <c r="E265" s="89"/>
      <c r="F265" s="89"/>
      <c r="G265" s="89"/>
      <c r="H265" s="89"/>
      <c r="I265" s="89"/>
      <c r="J265" s="89"/>
      <c r="K265" s="96" t="s">
        <v>112301</v>
      </c>
      <c r="L265" s="91" t="s">
        <v>113390</v>
      </c>
      <c r="M265" s="92" t="s">
        <v>113735</v>
      </c>
      <c r="N265" s="93">
        <v>45552</v>
      </c>
      <c r="O265" s="93" t="s">
        <v>113078</v>
      </c>
      <c r="P265" s="94" t="s">
        <v>113079</v>
      </c>
      <c r="Q265" s="94" t="s">
        <v>113052</v>
      </c>
      <c r="R265" s="472">
        <v>12350000</v>
      </c>
      <c r="S265" s="95"/>
      <c r="T265" s="571"/>
      <c r="U265" s="472">
        <v>0</v>
      </c>
      <c r="V265" s="95"/>
      <c r="W265" s="96"/>
      <c r="X265" s="187"/>
      <c r="Y265" s="96"/>
    </row>
    <row r="266" spans="2:25" x14ac:dyDescent="0.2">
      <c r="B266" s="80" t="s">
        <v>105516</v>
      </c>
      <c r="C266" s="80" t="s">
        <v>105924</v>
      </c>
      <c r="D266" s="80" t="s">
        <v>105520</v>
      </c>
      <c r="E266" s="80" t="s">
        <v>105573</v>
      </c>
      <c r="F266" s="80" t="s">
        <v>105544</v>
      </c>
      <c r="G266" s="80" t="s">
        <v>105541</v>
      </c>
      <c r="H266" s="80" t="s">
        <v>106103</v>
      </c>
      <c r="I266" s="80"/>
      <c r="J266" s="416"/>
      <c r="K266" s="80"/>
      <c r="L266" s="436"/>
      <c r="M266" s="82" t="s">
        <v>106815</v>
      </c>
      <c r="N266" s="83"/>
      <c r="O266" s="83"/>
      <c r="P266" s="84"/>
      <c r="Q266" s="84"/>
      <c r="R266" s="85">
        <f>SUM(R267:R271)</f>
        <v>1320800000</v>
      </c>
      <c r="S266" s="85">
        <f>SUM(S267:S271)</f>
        <v>1618661000</v>
      </c>
      <c r="T266" s="85">
        <f t="shared" ref="T266" si="105">SUM(T267:T271)</f>
        <v>1684411000</v>
      </c>
      <c r="U266" s="85">
        <f>SUM(U267:U271)</f>
        <v>0</v>
      </c>
      <c r="V266" s="85"/>
      <c r="W266" s="86"/>
      <c r="X266" s="86"/>
      <c r="Y266" s="341"/>
    </row>
    <row r="267" spans="2:25" ht="60" x14ac:dyDescent="0.2">
      <c r="B267" s="88"/>
      <c r="C267" s="89"/>
      <c r="D267" s="89"/>
      <c r="E267" s="89"/>
      <c r="F267" s="89"/>
      <c r="G267" s="89"/>
      <c r="H267" s="89"/>
      <c r="I267" s="89"/>
      <c r="J267" s="89"/>
      <c r="K267" s="96" t="s">
        <v>112301</v>
      </c>
      <c r="L267" s="55">
        <v>72101500</v>
      </c>
      <c r="M267" s="102" t="s">
        <v>113736</v>
      </c>
      <c r="N267" s="93">
        <v>45667</v>
      </c>
      <c r="O267" s="93" t="s">
        <v>113060</v>
      </c>
      <c r="P267" s="94" t="s">
        <v>113011</v>
      </c>
      <c r="Q267" s="94" t="s">
        <v>113053</v>
      </c>
      <c r="R267" s="472">
        <v>315500000</v>
      </c>
      <c r="S267" s="314">
        <v>291500000</v>
      </c>
      <c r="T267" s="571">
        <v>291500000</v>
      </c>
      <c r="U267" s="472">
        <v>0</v>
      </c>
      <c r="V267" s="95"/>
      <c r="W267" s="96" t="s">
        <v>106081</v>
      </c>
      <c r="X267" s="187"/>
      <c r="Y267" s="96" t="s">
        <v>113000</v>
      </c>
    </row>
    <row r="268" spans="2:25" ht="45" x14ac:dyDescent="0.2">
      <c r="B268" s="88"/>
      <c r="C268" s="89"/>
      <c r="D268" s="89"/>
      <c r="E268" s="89"/>
      <c r="F268" s="89"/>
      <c r="G268" s="89"/>
      <c r="H268" s="89"/>
      <c r="I268" s="89"/>
      <c r="J268" s="89"/>
      <c r="K268" s="96" t="s">
        <v>112301</v>
      </c>
      <c r="L268" s="55">
        <v>72101500</v>
      </c>
      <c r="M268" s="102" t="s">
        <v>113698</v>
      </c>
      <c r="N268" s="93">
        <v>45667</v>
      </c>
      <c r="O268" s="93" t="s">
        <v>113060</v>
      </c>
      <c r="P268" s="94" t="s">
        <v>113011</v>
      </c>
      <c r="Q268" s="94" t="s">
        <v>113053</v>
      </c>
      <c r="R268" s="472">
        <v>85800000</v>
      </c>
      <c r="S268" s="314">
        <v>91080000</v>
      </c>
      <c r="T268" s="571">
        <v>91080000</v>
      </c>
      <c r="U268" s="472">
        <v>0</v>
      </c>
      <c r="V268" s="95"/>
      <c r="W268" s="96" t="s">
        <v>106081</v>
      </c>
      <c r="X268" s="187"/>
      <c r="Y268" s="96" t="s">
        <v>113000</v>
      </c>
    </row>
    <row r="269" spans="2:25" ht="45" x14ac:dyDescent="0.2">
      <c r="B269" s="88"/>
      <c r="C269" s="89"/>
      <c r="D269" s="89"/>
      <c r="E269" s="89"/>
      <c r="F269" s="89"/>
      <c r="G269" s="89"/>
      <c r="H269" s="89"/>
      <c r="I269" s="89"/>
      <c r="J269" s="89"/>
      <c r="K269" s="96" t="s">
        <v>112301</v>
      </c>
      <c r="L269" s="91">
        <v>72101500</v>
      </c>
      <c r="M269" s="102" t="s">
        <v>113699</v>
      </c>
      <c r="N269" s="93">
        <v>45667</v>
      </c>
      <c r="O269" s="93" t="s">
        <v>113060</v>
      </c>
      <c r="P269" s="94" t="s">
        <v>113011</v>
      </c>
      <c r="Q269" s="94" t="s">
        <v>113053</v>
      </c>
      <c r="R269" s="563">
        <v>919500000</v>
      </c>
      <c r="S269" s="314">
        <f>1080000000+77181000</f>
        <v>1157181000</v>
      </c>
      <c r="T269" s="572">
        <v>1157181000</v>
      </c>
      <c r="U269" s="563">
        <v>0</v>
      </c>
      <c r="V269" s="95"/>
      <c r="W269" s="96" t="s">
        <v>106081</v>
      </c>
      <c r="X269" s="187"/>
      <c r="Y269" s="96" t="s">
        <v>113000</v>
      </c>
    </row>
    <row r="270" spans="2:25" ht="45" x14ac:dyDescent="0.2">
      <c r="B270" s="88"/>
      <c r="C270" s="89"/>
      <c r="D270" s="89"/>
      <c r="E270" s="89"/>
      <c r="F270" s="89"/>
      <c r="G270" s="89"/>
      <c r="H270" s="89"/>
      <c r="I270" s="89"/>
      <c r="J270" s="89"/>
      <c r="K270" s="96" t="s">
        <v>112301</v>
      </c>
      <c r="L270" s="91">
        <v>72101500</v>
      </c>
      <c r="M270" s="584" t="s">
        <v>113700</v>
      </c>
      <c r="N270" s="93">
        <v>45703</v>
      </c>
      <c r="O270" s="93" t="s">
        <v>113037</v>
      </c>
      <c r="P270" s="586" t="s">
        <v>113002</v>
      </c>
      <c r="Q270" s="94" t="s">
        <v>113053</v>
      </c>
      <c r="R270" s="472"/>
      <c r="S270" s="565">
        <v>22500000</v>
      </c>
      <c r="T270" s="571">
        <v>41250000</v>
      </c>
      <c r="U270" s="472"/>
      <c r="V270" s="95"/>
      <c r="W270" s="96" t="s">
        <v>106081</v>
      </c>
      <c r="X270" s="187"/>
      <c r="Y270" s="96" t="s">
        <v>113000</v>
      </c>
    </row>
    <row r="271" spans="2:25" ht="45" x14ac:dyDescent="0.2">
      <c r="B271" s="88"/>
      <c r="C271" s="89"/>
      <c r="D271" s="89"/>
      <c r="E271" s="89"/>
      <c r="F271" s="89"/>
      <c r="G271" s="89"/>
      <c r="H271" s="89"/>
      <c r="I271" s="89"/>
      <c r="J271" s="89"/>
      <c r="K271" s="96" t="s">
        <v>112301</v>
      </c>
      <c r="L271" s="91">
        <v>72101500</v>
      </c>
      <c r="M271" s="585" t="s">
        <v>113701</v>
      </c>
      <c r="N271" s="93">
        <v>45703</v>
      </c>
      <c r="O271" s="93" t="s">
        <v>113037</v>
      </c>
      <c r="P271" s="586" t="s">
        <v>113002</v>
      </c>
      <c r="Q271" s="94" t="s">
        <v>113053</v>
      </c>
      <c r="R271" s="472"/>
      <c r="S271" s="565">
        <v>56400000</v>
      </c>
      <c r="T271" s="571">
        <v>103400000</v>
      </c>
      <c r="U271" s="472"/>
      <c r="V271" s="95"/>
      <c r="W271" s="96" t="s">
        <v>106081</v>
      </c>
      <c r="X271" s="187"/>
      <c r="Y271" s="96" t="s">
        <v>113000</v>
      </c>
    </row>
    <row r="272" spans="2:25" ht="45" x14ac:dyDescent="0.2">
      <c r="B272" s="188" t="s">
        <v>105516</v>
      </c>
      <c r="C272" s="188" t="s">
        <v>105924</v>
      </c>
      <c r="D272" s="188" t="s">
        <v>105520</v>
      </c>
      <c r="E272" s="188" t="s">
        <v>105573</v>
      </c>
      <c r="F272" s="188" t="s">
        <v>105547</v>
      </c>
      <c r="G272" s="188"/>
      <c r="H272" s="188"/>
      <c r="I272" s="188"/>
      <c r="J272" s="423"/>
      <c r="K272" s="308"/>
      <c r="L272" s="65"/>
      <c r="M272" s="306" t="s">
        <v>113221</v>
      </c>
      <c r="N272" s="67"/>
      <c r="O272" s="190"/>
      <c r="P272" s="68"/>
      <c r="Q272" s="68"/>
      <c r="R272" s="69">
        <f>+R273</f>
        <v>3400000</v>
      </c>
      <c r="S272" s="69">
        <f t="shared" ref="S272:T274" si="106">+S273</f>
        <v>23320000</v>
      </c>
      <c r="T272" s="69">
        <f t="shared" si="106"/>
        <v>23320000</v>
      </c>
      <c r="U272" s="69">
        <f>+U273</f>
        <v>0</v>
      </c>
      <c r="V272" s="69"/>
      <c r="W272" s="70"/>
      <c r="X272" s="70"/>
      <c r="Y272" s="254"/>
    </row>
    <row r="273" spans="2:25" x14ac:dyDescent="0.2">
      <c r="B273" s="191" t="s">
        <v>105516</v>
      </c>
      <c r="C273" s="191" t="s">
        <v>105924</v>
      </c>
      <c r="D273" s="191" t="s">
        <v>105520</v>
      </c>
      <c r="E273" s="191" t="s">
        <v>105573</v>
      </c>
      <c r="F273" s="191" t="s">
        <v>105547</v>
      </c>
      <c r="G273" s="191" t="s">
        <v>105550</v>
      </c>
      <c r="H273" s="191"/>
      <c r="I273" s="191"/>
      <c r="J273" s="424"/>
      <c r="K273" s="191"/>
      <c r="L273" s="171"/>
      <c r="M273" s="172" t="s">
        <v>106841</v>
      </c>
      <c r="N273" s="173"/>
      <c r="O273" s="173"/>
      <c r="P273" s="174"/>
      <c r="Q273" s="174"/>
      <c r="R273" s="175">
        <f>+R274</f>
        <v>3400000</v>
      </c>
      <c r="S273" s="175">
        <f t="shared" si="106"/>
        <v>23320000</v>
      </c>
      <c r="T273" s="175">
        <f t="shared" si="106"/>
        <v>23320000</v>
      </c>
      <c r="U273" s="175">
        <f>+U274</f>
        <v>0</v>
      </c>
      <c r="V273" s="175"/>
      <c r="W273" s="176"/>
      <c r="X273" s="176"/>
      <c r="Y273" s="170"/>
    </row>
    <row r="274" spans="2:25" x14ac:dyDescent="0.2">
      <c r="B274" s="81" t="s">
        <v>105516</v>
      </c>
      <c r="C274" s="81" t="s">
        <v>105924</v>
      </c>
      <c r="D274" s="81" t="s">
        <v>105520</v>
      </c>
      <c r="E274" s="81" t="s">
        <v>105573</v>
      </c>
      <c r="F274" s="81" t="s">
        <v>105547</v>
      </c>
      <c r="G274" s="81" t="s">
        <v>105550</v>
      </c>
      <c r="H274" s="81" t="s">
        <v>105520</v>
      </c>
      <c r="I274" s="81"/>
      <c r="J274" s="425"/>
      <c r="K274" s="81"/>
      <c r="L274" s="436"/>
      <c r="M274" s="82" t="s">
        <v>106843</v>
      </c>
      <c r="N274" s="83"/>
      <c r="O274" s="83"/>
      <c r="P274" s="84"/>
      <c r="Q274" s="84"/>
      <c r="R274" s="85">
        <f>+R275</f>
        <v>3400000</v>
      </c>
      <c r="S274" s="85">
        <f t="shared" si="106"/>
        <v>23320000</v>
      </c>
      <c r="T274" s="85">
        <f t="shared" si="106"/>
        <v>23320000</v>
      </c>
      <c r="U274" s="85">
        <f>+U275</f>
        <v>0</v>
      </c>
      <c r="V274" s="85"/>
      <c r="W274" s="86"/>
      <c r="X274" s="86"/>
      <c r="Y274" s="80"/>
    </row>
    <row r="275" spans="2:25" ht="30" x14ac:dyDescent="0.2">
      <c r="B275" s="88"/>
      <c r="C275" s="89"/>
      <c r="D275" s="89"/>
      <c r="E275" s="89"/>
      <c r="F275" s="89"/>
      <c r="G275" s="89"/>
      <c r="H275" s="89"/>
      <c r="I275" s="89"/>
      <c r="J275" s="89"/>
      <c r="K275" s="96" t="s">
        <v>112476</v>
      </c>
      <c r="L275" s="55">
        <v>78121600</v>
      </c>
      <c r="M275" s="102" t="s">
        <v>113141</v>
      </c>
      <c r="N275" s="93">
        <v>45667</v>
      </c>
      <c r="O275" s="93" t="s">
        <v>113060</v>
      </c>
      <c r="P275" s="94" t="s">
        <v>113011</v>
      </c>
      <c r="Q275" s="94" t="s">
        <v>113053</v>
      </c>
      <c r="R275" s="472">
        <v>3400000</v>
      </c>
      <c r="S275" s="95">
        <v>23320000</v>
      </c>
      <c r="T275" s="571">
        <v>23320000</v>
      </c>
      <c r="U275" s="472">
        <v>0</v>
      </c>
      <c r="V275" s="95"/>
      <c r="W275" s="133"/>
      <c r="X275" s="193"/>
      <c r="Y275" s="96" t="s">
        <v>113536</v>
      </c>
    </row>
    <row r="276" spans="2:25" ht="30" x14ac:dyDescent="0.2">
      <c r="B276" s="63" t="s">
        <v>105516</v>
      </c>
      <c r="C276" s="63" t="s">
        <v>105924</v>
      </c>
      <c r="D276" s="63" t="s">
        <v>105520</v>
      </c>
      <c r="E276" s="63" t="s">
        <v>105573</v>
      </c>
      <c r="F276" s="63" t="s">
        <v>105550</v>
      </c>
      <c r="G276" s="63"/>
      <c r="H276" s="63"/>
      <c r="I276" s="63"/>
      <c r="J276" s="414"/>
      <c r="K276" s="254"/>
      <c r="L276" s="65"/>
      <c r="M276" s="66" t="s">
        <v>106865</v>
      </c>
      <c r="N276" s="67"/>
      <c r="O276" s="190"/>
      <c r="P276" s="68"/>
      <c r="Q276" s="68"/>
      <c r="R276" s="69">
        <f>+R277+R284</f>
        <v>975319487</v>
      </c>
      <c r="S276" s="69">
        <f>+S277+S284</f>
        <v>4104009000</v>
      </c>
      <c r="T276" s="69">
        <f t="shared" ref="T276" si="107">+T277+T284</f>
        <v>4104009000</v>
      </c>
      <c r="U276" s="69">
        <f>+U277+U284</f>
        <v>0</v>
      </c>
      <c r="V276" s="69"/>
      <c r="W276" s="70"/>
      <c r="X276" s="70"/>
      <c r="Y276" s="254"/>
    </row>
    <row r="277" spans="2:25" x14ac:dyDescent="0.2">
      <c r="B277" s="170" t="s">
        <v>105516</v>
      </c>
      <c r="C277" s="170" t="s">
        <v>105924</v>
      </c>
      <c r="D277" s="170" t="s">
        <v>105520</v>
      </c>
      <c r="E277" s="170" t="s">
        <v>105573</v>
      </c>
      <c r="F277" s="170" t="s">
        <v>105550</v>
      </c>
      <c r="G277" s="191" t="s">
        <v>105528</v>
      </c>
      <c r="H277" s="170"/>
      <c r="I277" s="170"/>
      <c r="J277" s="422"/>
      <c r="K277" s="170"/>
      <c r="L277" s="171"/>
      <c r="M277" s="172" t="s">
        <v>106867</v>
      </c>
      <c r="N277" s="173"/>
      <c r="O277" s="173"/>
      <c r="P277" s="174"/>
      <c r="Q277" s="174"/>
      <c r="R277" s="175">
        <f>R278</f>
        <v>827300287</v>
      </c>
      <c r="S277" s="175">
        <f>S278</f>
        <v>3944009000</v>
      </c>
      <c r="T277" s="175">
        <f t="shared" ref="T277" si="108">T278</f>
        <v>3944009000</v>
      </c>
      <c r="U277" s="175">
        <f>U278</f>
        <v>0</v>
      </c>
      <c r="V277" s="175"/>
      <c r="W277" s="176"/>
      <c r="X277" s="176"/>
      <c r="Y277" s="170"/>
    </row>
    <row r="278" spans="2:25" ht="30" x14ac:dyDescent="0.2">
      <c r="B278" s="81" t="s">
        <v>105516</v>
      </c>
      <c r="C278" s="81" t="s">
        <v>105924</v>
      </c>
      <c r="D278" s="81" t="s">
        <v>105520</v>
      </c>
      <c r="E278" s="81" t="s">
        <v>105573</v>
      </c>
      <c r="F278" s="81" t="s">
        <v>105550</v>
      </c>
      <c r="G278" s="81" t="s">
        <v>105528</v>
      </c>
      <c r="H278" s="81" t="s">
        <v>105675</v>
      </c>
      <c r="I278" s="81"/>
      <c r="J278" s="425"/>
      <c r="K278" s="81"/>
      <c r="L278" s="436"/>
      <c r="M278" s="304" t="s">
        <v>113222</v>
      </c>
      <c r="N278" s="83"/>
      <c r="O278" s="83"/>
      <c r="P278" s="84"/>
      <c r="Q278" s="84"/>
      <c r="R278" s="85">
        <f>R279+R281</f>
        <v>827300287</v>
      </c>
      <c r="S278" s="85">
        <f>S279+S281</f>
        <v>3944009000</v>
      </c>
      <c r="T278" s="85">
        <f t="shared" ref="T278" si="109">T279+T281</f>
        <v>3944009000</v>
      </c>
      <c r="U278" s="85">
        <f>U279+U281</f>
        <v>0</v>
      </c>
      <c r="V278" s="85"/>
      <c r="W278" s="86"/>
      <c r="X278" s="86"/>
      <c r="Y278" s="80"/>
    </row>
    <row r="279" spans="2:25" ht="29.25" customHeight="1" x14ac:dyDescent="0.2">
      <c r="B279" s="81" t="s">
        <v>105516</v>
      </c>
      <c r="C279" s="81" t="s">
        <v>105924</v>
      </c>
      <c r="D279" s="81" t="s">
        <v>105520</v>
      </c>
      <c r="E279" s="81" t="s">
        <v>105573</v>
      </c>
      <c r="F279" s="81" t="s">
        <v>105550</v>
      </c>
      <c r="G279" s="81" t="s">
        <v>105528</v>
      </c>
      <c r="H279" s="81" t="s">
        <v>105675</v>
      </c>
      <c r="I279" s="81" t="s">
        <v>106211</v>
      </c>
      <c r="J279" s="425"/>
      <c r="K279" s="81"/>
      <c r="L279" s="436"/>
      <c r="M279" s="304" t="s">
        <v>113223</v>
      </c>
      <c r="N279" s="83"/>
      <c r="O279" s="83"/>
      <c r="P279" s="84"/>
      <c r="Q279" s="84"/>
      <c r="R279" s="85">
        <f>R280</f>
        <v>75000000</v>
      </c>
      <c r="S279" s="85">
        <f>S280</f>
        <v>126000000</v>
      </c>
      <c r="T279" s="85">
        <f t="shared" ref="T279" si="110">T280</f>
        <v>126000000</v>
      </c>
      <c r="U279" s="85">
        <f>U280</f>
        <v>0</v>
      </c>
      <c r="V279" s="85"/>
      <c r="W279" s="86"/>
      <c r="X279" s="86"/>
      <c r="Y279" s="80"/>
    </row>
    <row r="280" spans="2:25" ht="30" x14ac:dyDescent="0.2">
      <c r="B280" s="194"/>
      <c r="C280" s="195"/>
      <c r="D280" s="195"/>
      <c r="E280" s="195"/>
      <c r="F280" s="195"/>
      <c r="G280" s="195"/>
      <c r="H280" s="195"/>
      <c r="I280" s="195"/>
      <c r="J280" s="195"/>
      <c r="K280" s="96" t="s">
        <v>112489</v>
      </c>
      <c r="L280" s="55"/>
      <c r="M280" s="102" t="s">
        <v>113143</v>
      </c>
      <c r="N280" s="93" t="s">
        <v>113031</v>
      </c>
      <c r="O280" s="93" t="s">
        <v>113031</v>
      </c>
      <c r="P280" s="93" t="s">
        <v>113031</v>
      </c>
      <c r="Q280" s="93" t="s">
        <v>113031</v>
      </c>
      <c r="R280" s="472">
        <v>75000000</v>
      </c>
      <c r="S280" s="95">
        <v>126000000</v>
      </c>
      <c r="T280" s="571">
        <v>126000000</v>
      </c>
      <c r="U280" s="472">
        <v>0</v>
      </c>
      <c r="V280" s="95"/>
      <c r="W280" s="96"/>
      <c r="X280" s="97"/>
      <c r="Y280" s="96" t="s">
        <v>113000</v>
      </c>
    </row>
    <row r="281" spans="2:25" ht="30" x14ac:dyDescent="0.2">
      <c r="B281" s="80" t="s">
        <v>105516</v>
      </c>
      <c r="C281" s="81" t="s">
        <v>105924</v>
      </c>
      <c r="D281" s="81" t="s">
        <v>105520</v>
      </c>
      <c r="E281" s="81" t="s">
        <v>105573</v>
      </c>
      <c r="F281" s="81" t="s">
        <v>105550</v>
      </c>
      <c r="G281" s="81" t="s">
        <v>105528</v>
      </c>
      <c r="H281" s="80" t="s">
        <v>105675</v>
      </c>
      <c r="I281" s="80" t="s">
        <v>106217</v>
      </c>
      <c r="J281" s="416"/>
      <c r="K281" s="81"/>
      <c r="L281" s="436"/>
      <c r="M281" s="304" t="s">
        <v>106892</v>
      </c>
      <c r="N281" s="83"/>
      <c r="O281" s="83"/>
      <c r="P281" s="84"/>
      <c r="Q281" s="84"/>
      <c r="R281" s="85">
        <f>R282</f>
        <v>752300287</v>
      </c>
      <c r="S281" s="85">
        <f t="shared" ref="S281:T282" si="111">S282</f>
        <v>3818009000</v>
      </c>
      <c r="T281" s="85">
        <f t="shared" si="111"/>
        <v>3818009000</v>
      </c>
      <c r="U281" s="85">
        <f>U282</f>
        <v>0</v>
      </c>
      <c r="V281" s="85"/>
      <c r="W281" s="86"/>
      <c r="X281" s="86"/>
      <c r="Y281" s="80"/>
    </row>
    <row r="282" spans="2:25" ht="30" x14ac:dyDescent="0.2">
      <c r="B282" s="80" t="s">
        <v>105516</v>
      </c>
      <c r="C282" s="81" t="s">
        <v>105924</v>
      </c>
      <c r="D282" s="81" t="s">
        <v>105520</v>
      </c>
      <c r="E282" s="81" t="s">
        <v>105573</v>
      </c>
      <c r="F282" s="81" t="s">
        <v>105550</v>
      </c>
      <c r="G282" s="81" t="s">
        <v>105528</v>
      </c>
      <c r="H282" s="80" t="s">
        <v>105675</v>
      </c>
      <c r="I282" s="80" t="s">
        <v>106217</v>
      </c>
      <c r="J282" s="416" t="s">
        <v>105917</v>
      </c>
      <c r="K282" s="81"/>
      <c r="L282" s="436"/>
      <c r="M282" s="304" t="s">
        <v>106900</v>
      </c>
      <c r="N282" s="83"/>
      <c r="O282" s="83"/>
      <c r="P282" s="84"/>
      <c r="Q282" s="84"/>
      <c r="R282" s="85">
        <f>R283</f>
        <v>752300287</v>
      </c>
      <c r="S282" s="85">
        <f t="shared" si="111"/>
        <v>3818009000</v>
      </c>
      <c r="T282" s="85">
        <f t="shared" si="111"/>
        <v>3818009000</v>
      </c>
      <c r="U282" s="85">
        <f>U283</f>
        <v>0</v>
      </c>
      <c r="V282" s="85"/>
      <c r="W282" s="86"/>
      <c r="X282" s="86"/>
      <c r="Y282" s="80"/>
    </row>
    <row r="283" spans="2:25" ht="45" x14ac:dyDescent="0.2">
      <c r="B283" s="194"/>
      <c r="C283" s="195"/>
      <c r="D283" s="195"/>
      <c r="E283" s="195"/>
      <c r="F283" s="195"/>
      <c r="G283" s="195"/>
      <c r="H283" s="195"/>
      <c r="I283" s="195"/>
      <c r="J283" s="195"/>
      <c r="K283" s="96" t="s">
        <v>112489</v>
      </c>
      <c r="L283" s="91" t="s">
        <v>113067</v>
      </c>
      <c r="M283" s="566" t="s">
        <v>113537</v>
      </c>
      <c r="N283" s="93"/>
      <c r="O283" s="93"/>
      <c r="P283" s="93"/>
      <c r="Q283" s="93" t="s">
        <v>113069</v>
      </c>
      <c r="R283" s="472">
        <v>752300287</v>
      </c>
      <c r="S283" s="95">
        <v>3818009000</v>
      </c>
      <c r="T283" s="571">
        <v>3818009000</v>
      </c>
      <c r="U283" s="472">
        <v>0</v>
      </c>
      <c r="V283" s="95"/>
      <c r="W283" s="96" t="s">
        <v>105533</v>
      </c>
      <c r="X283" s="313">
        <v>2214579446</v>
      </c>
      <c r="Y283" s="96" t="s">
        <v>113000</v>
      </c>
    </row>
    <row r="284" spans="2:25" x14ac:dyDescent="0.2">
      <c r="B284" s="170" t="s">
        <v>105516</v>
      </c>
      <c r="C284" s="170" t="s">
        <v>105924</v>
      </c>
      <c r="D284" s="170" t="s">
        <v>105520</v>
      </c>
      <c r="E284" s="170" t="s">
        <v>105573</v>
      </c>
      <c r="F284" s="170" t="s">
        <v>105550</v>
      </c>
      <c r="G284" s="170" t="s">
        <v>105535</v>
      </c>
      <c r="H284" s="170"/>
      <c r="I284" s="170"/>
      <c r="J284" s="422"/>
      <c r="K284" s="170"/>
      <c r="L284" s="171"/>
      <c r="M284" s="172" t="s">
        <v>106948</v>
      </c>
      <c r="N284" s="173"/>
      <c r="O284" s="173"/>
      <c r="P284" s="174"/>
      <c r="Q284" s="174"/>
      <c r="R284" s="175">
        <f>+R285</f>
        <v>148019200</v>
      </c>
      <c r="S284" s="175">
        <f t="shared" ref="S284:T286" si="112">+S285</f>
        <v>160000000</v>
      </c>
      <c r="T284" s="175">
        <f t="shared" si="112"/>
        <v>160000000</v>
      </c>
      <c r="U284" s="175">
        <f>+U285</f>
        <v>0</v>
      </c>
      <c r="V284" s="175"/>
      <c r="W284" s="176"/>
      <c r="X284" s="176"/>
      <c r="Y284" s="170"/>
    </row>
    <row r="285" spans="2:25" ht="30" x14ac:dyDescent="0.2">
      <c r="B285" s="81" t="s">
        <v>105516</v>
      </c>
      <c r="C285" s="81" t="s">
        <v>105924</v>
      </c>
      <c r="D285" s="81" t="s">
        <v>105520</v>
      </c>
      <c r="E285" s="81" t="s">
        <v>105573</v>
      </c>
      <c r="F285" s="81" t="s">
        <v>105550</v>
      </c>
      <c r="G285" s="81" t="s">
        <v>105535</v>
      </c>
      <c r="H285" s="81" t="s">
        <v>105520</v>
      </c>
      <c r="I285" s="80"/>
      <c r="J285" s="416"/>
      <c r="K285" s="80"/>
      <c r="L285" s="436"/>
      <c r="M285" s="304" t="s">
        <v>106950</v>
      </c>
      <c r="N285" s="83"/>
      <c r="O285" s="83"/>
      <c r="P285" s="84"/>
      <c r="Q285" s="84"/>
      <c r="R285" s="85">
        <f>+R286</f>
        <v>148019200</v>
      </c>
      <c r="S285" s="85">
        <f t="shared" si="112"/>
        <v>160000000</v>
      </c>
      <c r="T285" s="85">
        <f t="shared" si="112"/>
        <v>160000000</v>
      </c>
      <c r="U285" s="85">
        <f>+U286</f>
        <v>0</v>
      </c>
      <c r="V285" s="85"/>
      <c r="W285" s="86"/>
      <c r="X285" s="86"/>
      <c r="Y285" s="341"/>
    </row>
    <row r="286" spans="2:25" ht="48" customHeight="1" x14ac:dyDescent="0.2">
      <c r="B286" s="81" t="s">
        <v>105516</v>
      </c>
      <c r="C286" s="81" t="s">
        <v>105924</v>
      </c>
      <c r="D286" s="81" t="s">
        <v>105520</v>
      </c>
      <c r="E286" s="81" t="s">
        <v>105573</v>
      </c>
      <c r="F286" s="81" t="s">
        <v>105550</v>
      </c>
      <c r="G286" s="81" t="s">
        <v>105535</v>
      </c>
      <c r="H286" s="80" t="s">
        <v>105520</v>
      </c>
      <c r="I286" s="80" t="s">
        <v>105576</v>
      </c>
      <c r="J286" s="416"/>
      <c r="K286" s="80"/>
      <c r="L286" s="436"/>
      <c r="M286" s="304" t="s">
        <v>106952</v>
      </c>
      <c r="N286" s="83"/>
      <c r="O286" s="83"/>
      <c r="P286" s="84"/>
      <c r="Q286" s="84"/>
      <c r="R286" s="85">
        <f>+R287</f>
        <v>148019200</v>
      </c>
      <c r="S286" s="85">
        <f t="shared" si="112"/>
        <v>160000000</v>
      </c>
      <c r="T286" s="85">
        <f t="shared" si="112"/>
        <v>160000000</v>
      </c>
      <c r="U286" s="85">
        <f>+U287</f>
        <v>0</v>
      </c>
      <c r="V286" s="85"/>
      <c r="W286" s="86"/>
      <c r="X286" s="86"/>
      <c r="Y286" s="341"/>
    </row>
    <row r="287" spans="2:25" x14ac:dyDescent="0.2">
      <c r="B287" s="194"/>
      <c r="C287" s="195"/>
      <c r="D287" s="195"/>
      <c r="E287" s="195"/>
      <c r="F287" s="195"/>
      <c r="G287" s="195"/>
      <c r="H287" s="195"/>
      <c r="I287" s="195"/>
      <c r="J287" s="195"/>
      <c r="K287" s="96" t="s">
        <v>112528</v>
      </c>
      <c r="L287" s="55"/>
      <c r="M287" s="92" t="s">
        <v>113144</v>
      </c>
      <c r="N287" s="93">
        <v>45659</v>
      </c>
      <c r="O287" s="93" t="s">
        <v>113060</v>
      </c>
      <c r="P287" s="132" t="s">
        <v>113068</v>
      </c>
      <c r="Q287" s="93" t="s">
        <v>113031</v>
      </c>
      <c r="R287" s="474">
        <v>148019200</v>
      </c>
      <c r="S287" s="95">
        <v>160000000</v>
      </c>
      <c r="T287" s="574">
        <v>160000000</v>
      </c>
      <c r="U287" s="474">
        <v>0</v>
      </c>
      <c r="V287" s="98"/>
      <c r="W287" s="96"/>
      <c r="X287" s="97"/>
      <c r="Y287" s="96" t="s">
        <v>113064</v>
      </c>
    </row>
    <row r="288" spans="2:25" ht="30" x14ac:dyDescent="0.2">
      <c r="B288" s="63" t="s">
        <v>105516</v>
      </c>
      <c r="C288" s="63" t="s">
        <v>105924</v>
      </c>
      <c r="D288" s="63" t="s">
        <v>105520</v>
      </c>
      <c r="E288" s="63" t="s">
        <v>105573</v>
      </c>
      <c r="F288" s="63" t="s">
        <v>105553</v>
      </c>
      <c r="G288" s="63"/>
      <c r="H288" s="63"/>
      <c r="I288" s="63"/>
      <c r="J288" s="414"/>
      <c r="K288" s="254"/>
      <c r="L288" s="65"/>
      <c r="M288" s="66" t="s">
        <v>106978</v>
      </c>
      <c r="N288" s="67"/>
      <c r="O288" s="67"/>
      <c r="P288" s="68"/>
      <c r="Q288" s="68"/>
      <c r="R288" s="69">
        <f>+R289+R300+R312</f>
        <v>2567674485.0100002</v>
      </c>
      <c r="S288" s="69">
        <f>+S289+S300+S312</f>
        <v>3047430000</v>
      </c>
      <c r="T288" s="69">
        <f t="shared" ref="T288" si="113">+T289+T300+T312</f>
        <v>3070430000</v>
      </c>
      <c r="U288" s="69">
        <f>+U289+U300+U312</f>
        <v>0</v>
      </c>
      <c r="V288" s="69"/>
      <c r="W288" s="70"/>
      <c r="X288" s="70"/>
      <c r="Y288" s="254"/>
    </row>
    <row r="289" spans="2:25" ht="45" x14ac:dyDescent="0.2">
      <c r="B289" s="170" t="s">
        <v>105516</v>
      </c>
      <c r="C289" s="170" t="s">
        <v>105924</v>
      </c>
      <c r="D289" s="170" t="s">
        <v>105520</v>
      </c>
      <c r="E289" s="170" t="s">
        <v>105573</v>
      </c>
      <c r="F289" s="170" t="s">
        <v>105553</v>
      </c>
      <c r="G289" s="170" t="s">
        <v>105538</v>
      </c>
      <c r="H289" s="170"/>
      <c r="I289" s="170"/>
      <c r="J289" s="422"/>
      <c r="K289" s="170"/>
      <c r="L289" s="171"/>
      <c r="M289" s="307" t="s">
        <v>113224</v>
      </c>
      <c r="N289" s="173"/>
      <c r="O289" s="173"/>
      <c r="P289" s="174"/>
      <c r="Q289" s="174"/>
      <c r="R289" s="175">
        <f>+R290</f>
        <v>139200000</v>
      </c>
      <c r="S289" s="175">
        <f t="shared" ref="S289:T290" si="114">+S290</f>
        <v>215750000</v>
      </c>
      <c r="T289" s="175">
        <f t="shared" si="114"/>
        <v>215750000</v>
      </c>
      <c r="U289" s="175">
        <f>+U290</f>
        <v>0</v>
      </c>
      <c r="V289" s="175"/>
      <c r="W289" s="176"/>
      <c r="X289" s="176"/>
      <c r="Y289" s="170"/>
    </row>
    <row r="290" spans="2:25" ht="30" x14ac:dyDescent="0.2">
      <c r="B290" s="80" t="s">
        <v>105516</v>
      </c>
      <c r="C290" s="80" t="s">
        <v>105924</v>
      </c>
      <c r="D290" s="80" t="s">
        <v>105520</v>
      </c>
      <c r="E290" s="80" t="s">
        <v>105573</v>
      </c>
      <c r="F290" s="80" t="s">
        <v>105553</v>
      </c>
      <c r="G290" s="80" t="s">
        <v>105538</v>
      </c>
      <c r="H290" s="80" t="s">
        <v>105520</v>
      </c>
      <c r="I290" s="80"/>
      <c r="J290" s="416"/>
      <c r="K290" s="80"/>
      <c r="L290" s="436"/>
      <c r="M290" s="304" t="s">
        <v>107000</v>
      </c>
      <c r="N290" s="83"/>
      <c r="O290" s="83"/>
      <c r="P290" s="84"/>
      <c r="Q290" s="84"/>
      <c r="R290" s="85">
        <f>+R291</f>
        <v>139200000</v>
      </c>
      <c r="S290" s="85">
        <f t="shared" si="114"/>
        <v>215750000</v>
      </c>
      <c r="T290" s="85">
        <f t="shared" si="114"/>
        <v>215750000</v>
      </c>
      <c r="U290" s="85">
        <f>+U291</f>
        <v>0</v>
      </c>
      <c r="V290" s="85"/>
      <c r="W290" s="86"/>
      <c r="X290" s="86"/>
      <c r="Y290" s="341"/>
    </row>
    <row r="291" spans="2:25" ht="30" x14ac:dyDescent="0.2">
      <c r="B291" s="80" t="s">
        <v>105516</v>
      </c>
      <c r="C291" s="80" t="s">
        <v>105924</v>
      </c>
      <c r="D291" s="80" t="s">
        <v>105520</v>
      </c>
      <c r="E291" s="80" t="s">
        <v>105573</v>
      </c>
      <c r="F291" s="80" t="s">
        <v>105553</v>
      </c>
      <c r="G291" s="80" t="s">
        <v>105538</v>
      </c>
      <c r="H291" s="80" t="s">
        <v>105520</v>
      </c>
      <c r="I291" s="80" t="s">
        <v>105576</v>
      </c>
      <c r="J291" s="416"/>
      <c r="K291" s="80"/>
      <c r="L291" s="436"/>
      <c r="M291" s="304" t="s">
        <v>107002</v>
      </c>
      <c r="N291" s="83"/>
      <c r="O291" s="83"/>
      <c r="P291" s="84"/>
      <c r="Q291" s="84"/>
      <c r="R291" s="85">
        <f>SUM(R292:R299)</f>
        <v>139200000</v>
      </c>
      <c r="S291" s="85">
        <f>SUM(S292:S299)</f>
        <v>215750000</v>
      </c>
      <c r="T291" s="85">
        <f t="shared" ref="T291" si="115">SUM(T292:T299)</f>
        <v>215750000</v>
      </c>
      <c r="U291" s="85">
        <f>SUM(U292:U299)</f>
        <v>0</v>
      </c>
      <c r="V291" s="85"/>
      <c r="W291" s="86"/>
      <c r="X291" s="86"/>
      <c r="Y291" s="341"/>
    </row>
    <row r="292" spans="2:25" ht="60" x14ac:dyDescent="0.2">
      <c r="B292" s="88"/>
      <c r="C292" s="89"/>
      <c r="D292" s="89"/>
      <c r="E292" s="89"/>
      <c r="F292" s="89"/>
      <c r="G292" s="89"/>
      <c r="H292" s="89"/>
      <c r="I292" s="89"/>
      <c r="J292" s="89"/>
      <c r="K292" s="96" t="s">
        <v>112567</v>
      </c>
      <c r="L292" s="91" t="s">
        <v>113295</v>
      </c>
      <c r="M292" s="102" t="s">
        <v>113737</v>
      </c>
      <c r="N292" s="93">
        <v>45684</v>
      </c>
      <c r="O292" s="93" t="s">
        <v>113037</v>
      </c>
      <c r="P292" s="94" t="s">
        <v>113002</v>
      </c>
      <c r="Q292" s="94" t="s">
        <v>113113</v>
      </c>
      <c r="R292" s="472">
        <v>0</v>
      </c>
      <c r="S292" s="515">
        <v>35000000</v>
      </c>
      <c r="T292" s="571">
        <v>35000000</v>
      </c>
      <c r="U292" s="472">
        <v>0</v>
      </c>
      <c r="V292" s="95"/>
      <c r="W292" s="96"/>
      <c r="X292" s="97"/>
      <c r="Y292" s="96" t="s">
        <v>113019</v>
      </c>
    </row>
    <row r="293" spans="2:25" ht="90" x14ac:dyDescent="0.2">
      <c r="B293" s="138"/>
      <c r="C293" s="139"/>
      <c r="D293" s="139"/>
      <c r="E293" s="139"/>
      <c r="F293" s="139"/>
      <c r="G293" s="139"/>
      <c r="H293" s="139"/>
      <c r="I293" s="139"/>
      <c r="J293" s="139"/>
      <c r="K293" s="96" t="s">
        <v>112567</v>
      </c>
      <c r="L293" s="91">
        <v>80101500</v>
      </c>
      <c r="M293" s="102" t="s">
        <v>113738</v>
      </c>
      <c r="N293" s="93">
        <v>45677</v>
      </c>
      <c r="O293" s="93" t="s">
        <v>113037</v>
      </c>
      <c r="P293" s="94" t="s">
        <v>113011</v>
      </c>
      <c r="Q293" s="94" t="s">
        <v>113071</v>
      </c>
      <c r="R293" s="472"/>
      <c r="S293" s="317">
        <f>4500000*11</f>
        <v>49500000</v>
      </c>
      <c r="T293" s="571">
        <v>49500000</v>
      </c>
      <c r="U293" s="472"/>
      <c r="V293" s="95"/>
      <c r="W293" s="96"/>
      <c r="X293" s="97"/>
      <c r="Y293" s="96" t="s">
        <v>113019</v>
      </c>
    </row>
    <row r="294" spans="2:25" ht="110.25" customHeight="1" x14ac:dyDescent="0.2">
      <c r="B294" s="138"/>
      <c r="C294" s="139"/>
      <c r="D294" s="139"/>
      <c r="E294" s="139"/>
      <c r="F294" s="139"/>
      <c r="G294" s="139"/>
      <c r="H294" s="139"/>
      <c r="I294" s="139"/>
      <c r="J294" s="139"/>
      <c r="K294" s="96" t="s">
        <v>112567</v>
      </c>
      <c r="L294" s="91">
        <v>80101501</v>
      </c>
      <c r="M294" s="102" t="s">
        <v>113777</v>
      </c>
      <c r="N294" s="93">
        <v>45677</v>
      </c>
      <c r="O294" s="93" t="s">
        <v>113037</v>
      </c>
      <c r="P294" s="94" t="s">
        <v>113011</v>
      </c>
      <c r="Q294" s="94" t="s">
        <v>113071</v>
      </c>
      <c r="R294" s="472">
        <v>35200000</v>
      </c>
      <c r="S294" s="498">
        <v>0</v>
      </c>
      <c r="T294" s="571">
        <v>0</v>
      </c>
      <c r="U294" s="472">
        <v>0</v>
      </c>
      <c r="V294" s="95"/>
      <c r="W294" s="96"/>
      <c r="X294" s="97"/>
      <c r="Y294" s="96" t="s">
        <v>113019</v>
      </c>
    </row>
    <row r="295" spans="2:25" ht="75" customHeight="1" x14ac:dyDescent="0.2">
      <c r="B295" s="138"/>
      <c r="C295" s="139"/>
      <c r="D295" s="139"/>
      <c r="E295" s="139"/>
      <c r="F295" s="139"/>
      <c r="G295" s="139"/>
      <c r="H295" s="139"/>
      <c r="I295" s="139"/>
      <c r="J295" s="139"/>
      <c r="K295" s="96" t="s">
        <v>112567</v>
      </c>
      <c r="L295" s="91">
        <v>80101500</v>
      </c>
      <c r="M295" s="102" t="s">
        <v>113778</v>
      </c>
      <c r="N295" s="93">
        <v>45677</v>
      </c>
      <c r="O295" s="93" t="s">
        <v>113037</v>
      </c>
      <c r="P295" s="94" t="s">
        <v>113011</v>
      </c>
      <c r="Q295" s="94" t="s">
        <v>113071</v>
      </c>
      <c r="R295" s="472">
        <v>35200000</v>
      </c>
      <c r="S295" s="567">
        <f>4500000*11</f>
        <v>49500000</v>
      </c>
      <c r="T295" s="571">
        <v>49500000</v>
      </c>
      <c r="U295" s="472">
        <v>0</v>
      </c>
      <c r="V295" s="95"/>
      <c r="W295" s="96"/>
      <c r="X295" s="97"/>
      <c r="Y295" s="96" t="s">
        <v>113019</v>
      </c>
    </row>
    <row r="296" spans="2:25" s="203" customFormat="1" ht="81.75" customHeight="1" x14ac:dyDescent="0.2">
      <c r="B296" s="197"/>
      <c r="C296" s="198"/>
      <c r="D296" s="198"/>
      <c r="E296" s="198"/>
      <c r="F296" s="198"/>
      <c r="G296" s="198"/>
      <c r="H296" s="198"/>
      <c r="I296" s="198"/>
      <c r="J296" s="198"/>
      <c r="K296" s="200" t="s">
        <v>112567</v>
      </c>
      <c r="L296" s="91">
        <v>80101500</v>
      </c>
      <c r="M296" s="102" t="s">
        <v>113751</v>
      </c>
      <c r="N296" s="93">
        <v>45677</v>
      </c>
      <c r="O296" s="93" t="s">
        <v>113037</v>
      </c>
      <c r="P296" s="94" t="s">
        <v>113002</v>
      </c>
      <c r="Q296" s="94" t="s">
        <v>113071</v>
      </c>
      <c r="R296" s="472"/>
      <c r="S296" s="317">
        <f>4500000*6</f>
        <v>27000000</v>
      </c>
      <c r="T296" s="571">
        <v>27000000</v>
      </c>
      <c r="U296" s="472"/>
      <c r="V296" s="95"/>
      <c r="W296" s="96"/>
      <c r="X296" s="97"/>
      <c r="Y296" s="96" t="s">
        <v>113019</v>
      </c>
    </row>
    <row r="297" spans="2:25" s="203" customFormat="1" ht="101.25" customHeight="1" x14ac:dyDescent="0.2">
      <c r="B297" s="197"/>
      <c r="C297" s="198"/>
      <c r="D297" s="198"/>
      <c r="E297" s="198"/>
      <c r="F297" s="198"/>
      <c r="G297" s="198"/>
      <c r="H297" s="198"/>
      <c r="I297" s="198"/>
      <c r="J297" s="198"/>
      <c r="K297" s="200" t="s">
        <v>112567</v>
      </c>
      <c r="L297" s="91">
        <v>80161500</v>
      </c>
      <c r="M297" s="569" t="s">
        <v>113776</v>
      </c>
      <c r="N297" s="93">
        <v>45447</v>
      </c>
      <c r="O297" s="93" t="s">
        <v>113208</v>
      </c>
      <c r="P297" s="94" t="s">
        <v>113002</v>
      </c>
      <c r="Q297" s="94" t="s">
        <v>113071</v>
      </c>
      <c r="R297" s="472">
        <v>20500000</v>
      </c>
      <c r="S297" s="391"/>
      <c r="T297" s="571"/>
      <c r="U297" s="472">
        <v>0</v>
      </c>
      <c r="V297" s="95"/>
      <c r="W297" s="96"/>
      <c r="X297" s="97"/>
      <c r="Y297" s="96" t="s">
        <v>113054</v>
      </c>
    </row>
    <row r="298" spans="2:25" s="203" customFormat="1" ht="57" customHeight="1" x14ac:dyDescent="0.2">
      <c r="B298" s="197"/>
      <c r="C298" s="198"/>
      <c r="D298" s="198"/>
      <c r="E298" s="198"/>
      <c r="F298" s="198"/>
      <c r="G298" s="198"/>
      <c r="H298" s="198"/>
      <c r="I298" s="198"/>
      <c r="J298" s="198"/>
      <c r="K298" s="200" t="s">
        <v>112567</v>
      </c>
      <c r="L298" s="181">
        <v>80161500</v>
      </c>
      <c r="M298" s="102" t="s">
        <v>113779</v>
      </c>
      <c r="N298" s="93">
        <v>45667</v>
      </c>
      <c r="O298" s="93" t="s">
        <v>113060</v>
      </c>
      <c r="P298" s="94" t="s">
        <v>113011</v>
      </c>
      <c r="Q298" s="94" t="s">
        <v>113053</v>
      </c>
      <c r="R298" s="472">
        <v>45100000</v>
      </c>
      <c r="S298" s="498">
        <v>47850000</v>
      </c>
      <c r="T298" s="571">
        <v>47850000</v>
      </c>
      <c r="U298" s="472">
        <v>0</v>
      </c>
      <c r="V298" s="95"/>
      <c r="W298" s="133" t="s">
        <v>106081</v>
      </c>
      <c r="X298" s="193"/>
      <c r="Y298" s="96" t="s">
        <v>113536</v>
      </c>
    </row>
    <row r="299" spans="2:25" s="203" customFormat="1" ht="45" x14ac:dyDescent="0.2">
      <c r="B299" s="197"/>
      <c r="C299" s="198"/>
      <c r="D299" s="198"/>
      <c r="E299" s="198"/>
      <c r="F299" s="198"/>
      <c r="G299" s="198"/>
      <c r="H299" s="198"/>
      <c r="I299" s="198"/>
      <c r="J299" s="198"/>
      <c r="K299" s="200" t="s">
        <v>112567</v>
      </c>
      <c r="L299" s="55">
        <v>80101500</v>
      </c>
      <c r="M299" s="102" t="s">
        <v>113780</v>
      </c>
      <c r="N299" s="93">
        <v>45667</v>
      </c>
      <c r="O299" s="93" t="s">
        <v>113060</v>
      </c>
      <c r="P299" s="94" t="s">
        <v>113045</v>
      </c>
      <c r="Q299" s="94" t="s">
        <v>113053</v>
      </c>
      <c r="R299" s="472">
        <v>3200000</v>
      </c>
      <c r="S299" s="567">
        <v>6900000</v>
      </c>
      <c r="T299" s="571">
        <v>6900000</v>
      </c>
      <c r="U299" s="472">
        <v>0</v>
      </c>
      <c r="V299" s="95"/>
      <c r="W299" s="133" t="s">
        <v>106081</v>
      </c>
      <c r="X299" s="193"/>
      <c r="Y299" s="96" t="s">
        <v>113064</v>
      </c>
    </row>
    <row r="300" spans="2:25" x14ac:dyDescent="0.2">
      <c r="B300" s="170" t="s">
        <v>105516</v>
      </c>
      <c r="C300" s="170" t="s">
        <v>105924</v>
      </c>
      <c r="D300" s="170" t="s">
        <v>105520</v>
      </c>
      <c r="E300" s="170" t="s">
        <v>105573</v>
      </c>
      <c r="F300" s="170" t="s">
        <v>105553</v>
      </c>
      <c r="G300" s="170" t="s">
        <v>105544</v>
      </c>
      <c r="H300" s="170"/>
      <c r="I300" s="170"/>
      <c r="J300" s="422"/>
      <c r="K300" s="170"/>
      <c r="L300" s="171"/>
      <c r="M300" s="172" t="s">
        <v>107054</v>
      </c>
      <c r="N300" s="173"/>
      <c r="O300" s="173"/>
      <c r="P300" s="174"/>
      <c r="Q300" s="174"/>
      <c r="R300" s="175">
        <f>SUM(R301+R304)</f>
        <v>2404963940</v>
      </c>
      <c r="S300" s="175">
        <f>SUM(S301+S304)</f>
        <v>2721680000</v>
      </c>
      <c r="T300" s="175">
        <f t="shared" ref="T300" si="116">SUM(T301+T304)</f>
        <v>2721680000</v>
      </c>
      <c r="U300" s="175">
        <f>SUM(U301+U304)</f>
        <v>0</v>
      </c>
      <c r="V300" s="175"/>
      <c r="W300" s="176"/>
      <c r="X300" s="176"/>
      <c r="Y300" s="170"/>
    </row>
    <row r="301" spans="2:25" x14ac:dyDescent="0.2">
      <c r="B301" s="80" t="s">
        <v>105516</v>
      </c>
      <c r="C301" s="80" t="s">
        <v>105924</v>
      </c>
      <c r="D301" s="80" t="s">
        <v>105520</v>
      </c>
      <c r="E301" s="80" t="s">
        <v>105573</v>
      </c>
      <c r="F301" s="80" t="s">
        <v>105553</v>
      </c>
      <c r="G301" s="80" t="s">
        <v>105544</v>
      </c>
      <c r="H301" s="80" t="s">
        <v>105573</v>
      </c>
      <c r="I301" s="80"/>
      <c r="J301" s="416"/>
      <c r="K301" s="80"/>
      <c r="L301" s="436"/>
      <c r="M301" s="82" t="s">
        <v>113148</v>
      </c>
      <c r="N301" s="83"/>
      <c r="O301" s="83"/>
      <c r="P301" s="84"/>
      <c r="Q301" s="84"/>
      <c r="R301" s="85">
        <f>SUM(R302:R303)</f>
        <v>330912042.60000002</v>
      </c>
      <c r="S301" s="85">
        <f>SUM(S302:S303)</f>
        <v>332760000</v>
      </c>
      <c r="T301" s="85">
        <f t="shared" ref="T301" si="117">SUM(T302:T303)</f>
        <v>332760000</v>
      </c>
      <c r="U301" s="85">
        <f>SUM(U302:U303)</f>
        <v>0</v>
      </c>
      <c r="V301" s="85"/>
      <c r="W301" s="86"/>
      <c r="X301" s="86"/>
      <c r="Y301" s="341"/>
    </row>
    <row r="302" spans="2:25" ht="45" x14ac:dyDescent="0.2">
      <c r="B302" s="88"/>
      <c r="C302" s="89"/>
      <c r="D302" s="89"/>
      <c r="E302" s="89"/>
      <c r="F302" s="89"/>
      <c r="G302" s="89"/>
      <c r="H302" s="89"/>
      <c r="I302" s="89"/>
      <c r="J302" s="89"/>
      <c r="K302" s="96" t="s">
        <v>112595</v>
      </c>
      <c r="L302" s="204">
        <v>92121500</v>
      </c>
      <c r="M302" s="92" t="s">
        <v>113540</v>
      </c>
      <c r="N302" s="93"/>
      <c r="O302" s="93"/>
      <c r="P302" s="94"/>
      <c r="Q302" s="132"/>
      <c r="R302" s="484">
        <v>216848562.59999999</v>
      </c>
      <c r="S302" s="205">
        <v>221840000</v>
      </c>
      <c r="T302" s="575">
        <v>221840000</v>
      </c>
      <c r="U302" s="484">
        <v>0</v>
      </c>
      <c r="V302" s="205"/>
      <c r="W302" s="186" t="s">
        <v>106081</v>
      </c>
      <c r="X302" s="97"/>
      <c r="Y302" s="96" t="s">
        <v>113000</v>
      </c>
    </row>
    <row r="303" spans="2:25" ht="45" x14ac:dyDescent="0.2">
      <c r="B303" s="138"/>
      <c r="C303" s="139"/>
      <c r="D303" s="139"/>
      <c r="E303" s="139"/>
      <c r="F303" s="139"/>
      <c r="G303" s="139"/>
      <c r="H303" s="139"/>
      <c r="I303" s="139"/>
      <c r="J303" s="139"/>
      <c r="K303" s="96" t="s">
        <v>112595</v>
      </c>
      <c r="L303" s="204">
        <v>92121500</v>
      </c>
      <c r="M303" s="92" t="s">
        <v>113702</v>
      </c>
      <c r="N303" s="93">
        <v>45838</v>
      </c>
      <c r="O303" s="93" t="s">
        <v>112997</v>
      </c>
      <c r="P303" s="94" t="s">
        <v>113007</v>
      </c>
      <c r="Q303" s="94" t="s">
        <v>112999</v>
      </c>
      <c r="R303" s="472">
        <v>114063480</v>
      </c>
      <c r="S303" s="95">
        <f>S302/8*4</f>
        <v>110920000</v>
      </c>
      <c r="T303" s="571">
        <v>110920000</v>
      </c>
      <c r="U303" s="472">
        <v>0</v>
      </c>
      <c r="V303" s="95"/>
      <c r="W303" s="96" t="s">
        <v>105533</v>
      </c>
      <c r="X303" s="313">
        <f>CEILING(((S303/4*8)*1.05),10000)</f>
        <v>232940000</v>
      </c>
      <c r="Y303" s="96" t="s">
        <v>113000</v>
      </c>
    </row>
    <row r="304" spans="2:25" x14ac:dyDescent="0.2">
      <c r="B304" s="80" t="s">
        <v>105516</v>
      </c>
      <c r="C304" s="80" t="s">
        <v>105924</v>
      </c>
      <c r="D304" s="80" t="s">
        <v>105520</v>
      </c>
      <c r="E304" s="80" t="s">
        <v>105573</v>
      </c>
      <c r="F304" s="80" t="s">
        <v>105553</v>
      </c>
      <c r="G304" s="80" t="s">
        <v>105544</v>
      </c>
      <c r="H304" s="80" t="s">
        <v>105675</v>
      </c>
      <c r="I304" s="80"/>
      <c r="J304" s="416"/>
      <c r="K304" s="80"/>
      <c r="L304" s="436"/>
      <c r="M304" s="82" t="s">
        <v>107060</v>
      </c>
      <c r="N304" s="83"/>
      <c r="O304" s="83" t="s">
        <v>112995</v>
      </c>
      <c r="P304" s="84"/>
      <c r="Q304" s="84"/>
      <c r="R304" s="85">
        <f>SUM(R305:R311)</f>
        <v>2074051897.4000001</v>
      </c>
      <c r="S304" s="85">
        <f>SUM(S305:S311)</f>
        <v>2388920000</v>
      </c>
      <c r="T304" s="85">
        <f t="shared" ref="T304" si="118">SUM(T305:T311)</f>
        <v>2388920000</v>
      </c>
      <c r="U304" s="85">
        <f>SUM(U305:U311)</f>
        <v>0</v>
      </c>
      <c r="V304" s="85"/>
      <c r="W304" s="86"/>
      <c r="X304" s="86"/>
      <c r="Y304" s="341"/>
    </row>
    <row r="305" spans="2:25" ht="30" x14ac:dyDescent="0.2">
      <c r="B305" s="88"/>
      <c r="C305" s="89"/>
      <c r="D305" s="89"/>
      <c r="E305" s="89"/>
      <c r="F305" s="89"/>
      <c r="G305" s="89"/>
      <c r="H305" s="89"/>
      <c r="I305" s="89"/>
      <c r="J305" s="89"/>
      <c r="K305" s="96" t="s">
        <v>112595</v>
      </c>
      <c r="L305" s="55">
        <v>76111500</v>
      </c>
      <c r="M305" s="92" t="s">
        <v>113542</v>
      </c>
      <c r="N305" s="93"/>
      <c r="O305" s="93"/>
      <c r="P305" s="94"/>
      <c r="Q305" s="132"/>
      <c r="R305" s="484">
        <v>1215459297.4000001</v>
      </c>
      <c r="S305" s="205">
        <v>1217040000</v>
      </c>
      <c r="T305" s="575">
        <v>1217040000</v>
      </c>
      <c r="U305" s="484">
        <v>0</v>
      </c>
      <c r="V305" s="205"/>
      <c r="W305" s="186" t="s">
        <v>106081</v>
      </c>
      <c r="X305" s="97"/>
      <c r="Y305" s="96" t="s">
        <v>113000</v>
      </c>
    </row>
    <row r="306" spans="2:25" ht="45" x14ac:dyDescent="0.2">
      <c r="B306" s="138"/>
      <c r="C306" s="139"/>
      <c r="D306" s="139"/>
      <c r="E306" s="139"/>
      <c r="F306" s="139"/>
      <c r="G306" s="139"/>
      <c r="H306" s="139"/>
      <c r="I306" s="139"/>
      <c r="J306" s="139"/>
      <c r="K306" s="96" t="s">
        <v>112595</v>
      </c>
      <c r="L306" s="55">
        <v>76111500</v>
      </c>
      <c r="M306" s="92" t="s">
        <v>113703</v>
      </c>
      <c r="N306" s="93">
        <v>45838</v>
      </c>
      <c r="O306" s="93" t="s">
        <v>112997</v>
      </c>
      <c r="P306" s="94" t="s">
        <v>113007</v>
      </c>
      <c r="Q306" s="94" t="s">
        <v>113038</v>
      </c>
      <c r="R306" s="472">
        <v>574064000</v>
      </c>
      <c r="S306" s="95">
        <f>S305/8*4</f>
        <v>608520000</v>
      </c>
      <c r="T306" s="571">
        <v>608520000</v>
      </c>
      <c r="U306" s="484">
        <v>0</v>
      </c>
      <c r="V306" s="95"/>
      <c r="W306" s="96" t="s">
        <v>105533</v>
      </c>
      <c r="X306" s="313">
        <f>CEILING(((S306/4*8)*1.05),10000)</f>
        <v>1277900000</v>
      </c>
      <c r="Y306" s="96" t="s">
        <v>113000</v>
      </c>
    </row>
    <row r="307" spans="2:25" ht="45" x14ac:dyDescent="0.2">
      <c r="B307" s="138"/>
      <c r="C307" s="139"/>
      <c r="D307" s="139"/>
      <c r="E307" s="139"/>
      <c r="F307" s="139"/>
      <c r="G307" s="139"/>
      <c r="H307" s="139"/>
      <c r="I307" s="139"/>
      <c r="J307" s="139"/>
      <c r="K307" s="96" t="s">
        <v>112595</v>
      </c>
      <c r="L307" s="55">
        <v>76111500</v>
      </c>
      <c r="M307" s="92" t="s">
        <v>113544</v>
      </c>
      <c r="N307" s="93"/>
      <c r="O307" s="93"/>
      <c r="P307" s="132"/>
      <c r="Q307" s="94"/>
      <c r="R307" s="472">
        <f>95769000</f>
        <v>95769000</v>
      </c>
      <c r="S307" s="95">
        <v>224240000</v>
      </c>
      <c r="T307" s="571">
        <v>224240000</v>
      </c>
      <c r="U307" s="484">
        <v>0</v>
      </c>
      <c r="V307" s="95"/>
      <c r="W307" s="96" t="s">
        <v>106081</v>
      </c>
      <c r="X307" s="206"/>
      <c r="Y307" s="96" t="s">
        <v>113000</v>
      </c>
    </row>
    <row r="308" spans="2:25" ht="45" x14ac:dyDescent="0.2">
      <c r="B308" s="138"/>
      <c r="C308" s="139"/>
      <c r="D308" s="139"/>
      <c r="E308" s="139"/>
      <c r="F308" s="139"/>
      <c r="G308" s="139"/>
      <c r="H308" s="139"/>
      <c r="I308" s="139"/>
      <c r="J308" s="139"/>
      <c r="K308" s="96" t="s">
        <v>112595</v>
      </c>
      <c r="L308" s="55">
        <v>76111500</v>
      </c>
      <c r="M308" s="92" t="s">
        <v>113704</v>
      </c>
      <c r="N308" s="93">
        <v>45838</v>
      </c>
      <c r="O308" s="93" t="s">
        <v>112997</v>
      </c>
      <c r="P308" s="94" t="s">
        <v>113007</v>
      </c>
      <c r="Q308" s="94" t="s">
        <v>113069</v>
      </c>
      <c r="R308" s="472">
        <v>38759600</v>
      </c>
      <c r="S308" s="95">
        <f>S307/8*4</f>
        <v>112120000</v>
      </c>
      <c r="T308" s="571">
        <v>112120000</v>
      </c>
      <c r="U308" s="484">
        <v>0</v>
      </c>
      <c r="V308" s="95"/>
      <c r="W308" s="96" t="s">
        <v>105533</v>
      </c>
      <c r="X308" s="313">
        <f>CEILING(((S308/4*8)*1.05),10000)</f>
        <v>235460000</v>
      </c>
      <c r="Y308" s="96" t="s">
        <v>113000</v>
      </c>
    </row>
    <row r="309" spans="2:25" ht="45" x14ac:dyDescent="0.2">
      <c r="B309" s="138"/>
      <c r="C309" s="139"/>
      <c r="D309" s="139"/>
      <c r="E309" s="139"/>
      <c r="F309" s="139"/>
      <c r="G309" s="139"/>
      <c r="H309" s="139"/>
      <c r="I309" s="139"/>
      <c r="J309" s="139"/>
      <c r="K309" s="96" t="s">
        <v>112595</v>
      </c>
      <c r="L309" s="91" t="s">
        <v>113153</v>
      </c>
      <c r="M309" s="92" t="s">
        <v>113706</v>
      </c>
      <c r="N309" s="93">
        <v>45365</v>
      </c>
      <c r="O309" s="93" t="s">
        <v>113087</v>
      </c>
      <c r="P309" s="94" t="s">
        <v>113002</v>
      </c>
      <c r="Q309" s="94" t="s">
        <v>112999</v>
      </c>
      <c r="R309" s="472">
        <v>0</v>
      </c>
      <c r="S309" s="118">
        <f>CEILING((60000000*1.12),1000000)</f>
        <v>68000000</v>
      </c>
      <c r="T309" s="571">
        <v>68000000</v>
      </c>
      <c r="U309" s="484">
        <v>0</v>
      </c>
      <c r="V309" s="95"/>
      <c r="W309" s="96" t="s">
        <v>106081</v>
      </c>
      <c r="X309" s="97"/>
      <c r="Y309" s="96" t="s">
        <v>113000</v>
      </c>
    </row>
    <row r="310" spans="2:25" ht="45" x14ac:dyDescent="0.2">
      <c r="B310" s="138"/>
      <c r="C310" s="139"/>
      <c r="D310" s="139"/>
      <c r="E310" s="139"/>
      <c r="F310" s="139"/>
      <c r="G310" s="139"/>
      <c r="H310" s="139"/>
      <c r="I310" s="139"/>
      <c r="J310" s="139"/>
      <c r="K310" s="96" t="s">
        <v>112595</v>
      </c>
      <c r="L310" s="55">
        <v>72102100</v>
      </c>
      <c r="M310" s="92" t="s">
        <v>113705</v>
      </c>
      <c r="N310" s="93">
        <v>45365</v>
      </c>
      <c r="O310" s="93" t="s">
        <v>113087</v>
      </c>
      <c r="P310" s="94" t="s">
        <v>113002</v>
      </c>
      <c r="Q310" s="94" t="s">
        <v>112999</v>
      </c>
      <c r="R310" s="472">
        <v>150000000</v>
      </c>
      <c r="S310" s="118">
        <f>CEILING((150000000*1.06),10000)</f>
        <v>159000000</v>
      </c>
      <c r="T310" s="571">
        <v>159000000</v>
      </c>
      <c r="U310" s="484">
        <v>0</v>
      </c>
      <c r="V310" s="95"/>
      <c r="W310" s="96" t="s">
        <v>106081</v>
      </c>
      <c r="X310" s="97"/>
      <c r="Y310" s="96" t="s">
        <v>113000</v>
      </c>
    </row>
    <row r="311" spans="2:25" x14ac:dyDescent="0.2">
      <c r="B311" s="138"/>
      <c r="C311" s="139"/>
      <c r="D311" s="139"/>
      <c r="E311" s="139"/>
      <c r="F311" s="139"/>
      <c r="G311" s="139"/>
      <c r="H311" s="139"/>
      <c r="I311" s="139"/>
      <c r="J311" s="139"/>
      <c r="K311" s="96" t="s">
        <v>112595</v>
      </c>
      <c r="L311" s="55"/>
      <c r="M311" s="92"/>
      <c r="N311" s="93"/>
      <c r="O311" s="93"/>
      <c r="P311" s="94"/>
      <c r="Q311" s="94"/>
      <c r="R311" s="472"/>
      <c r="S311" s="95"/>
      <c r="T311" s="571"/>
      <c r="U311" s="472"/>
      <c r="V311" s="95"/>
      <c r="W311" s="96"/>
      <c r="X311" s="144"/>
      <c r="Y311" s="96"/>
    </row>
    <row r="312" spans="2:25" ht="30" x14ac:dyDescent="0.2">
      <c r="B312" s="170" t="s">
        <v>105516</v>
      </c>
      <c r="C312" s="170" t="s">
        <v>105924</v>
      </c>
      <c r="D312" s="170" t="s">
        <v>105520</v>
      </c>
      <c r="E312" s="170" t="s">
        <v>105573</v>
      </c>
      <c r="F312" s="170" t="s">
        <v>105553</v>
      </c>
      <c r="G312" s="170" t="s">
        <v>105550</v>
      </c>
      <c r="H312" s="170"/>
      <c r="I312" s="170"/>
      <c r="J312" s="422"/>
      <c r="K312" s="170"/>
      <c r="L312" s="171"/>
      <c r="M312" s="307" t="s">
        <v>107092</v>
      </c>
      <c r="N312" s="173"/>
      <c r="O312" s="173" t="s">
        <v>112995</v>
      </c>
      <c r="P312" s="174"/>
      <c r="Q312" s="174"/>
      <c r="R312" s="175">
        <f>+R313</f>
        <v>23510545.010000002</v>
      </c>
      <c r="S312" s="175">
        <f t="shared" ref="S312:T313" si="119">+S313</f>
        <v>110000000</v>
      </c>
      <c r="T312" s="175">
        <f t="shared" si="119"/>
        <v>133000000</v>
      </c>
      <c r="U312" s="175">
        <f>+U313</f>
        <v>0</v>
      </c>
      <c r="V312" s="175"/>
      <c r="W312" s="176"/>
      <c r="X312" s="176"/>
      <c r="Y312" s="170"/>
    </row>
    <row r="313" spans="2:25" ht="30" x14ac:dyDescent="0.2">
      <c r="B313" s="80" t="s">
        <v>105516</v>
      </c>
      <c r="C313" s="80" t="s">
        <v>105924</v>
      </c>
      <c r="D313" s="80" t="s">
        <v>105520</v>
      </c>
      <c r="E313" s="80" t="s">
        <v>105573</v>
      </c>
      <c r="F313" s="80" t="s">
        <v>105553</v>
      </c>
      <c r="G313" s="80" t="s">
        <v>105550</v>
      </c>
      <c r="H313" s="80" t="s">
        <v>105520</v>
      </c>
      <c r="I313" s="80"/>
      <c r="J313" s="416"/>
      <c r="K313" s="80"/>
      <c r="L313" s="436"/>
      <c r="M313" s="304" t="s">
        <v>107094</v>
      </c>
      <c r="N313" s="83"/>
      <c r="O313" s="83" t="s">
        <v>112995</v>
      </c>
      <c r="P313" s="84"/>
      <c r="Q313" s="84"/>
      <c r="R313" s="85">
        <f>+R314</f>
        <v>23510545.010000002</v>
      </c>
      <c r="S313" s="85">
        <f t="shared" si="119"/>
        <v>110000000</v>
      </c>
      <c r="T313" s="85">
        <f t="shared" si="119"/>
        <v>133000000</v>
      </c>
      <c r="U313" s="85">
        <f>+U314</f>
        <v>0</v>
      </c>
      <c r="V313" s="85"/>
      <c r="W313" s="86"/>
      <c r="X313" s="86"/>
      <c r="Y313" s="341"/>
    </row>
    <row r="314" spans="2:25" ht="30" x14ac:dyDescent="0.2">
      <c r="B314" s="80" t="s">
        <v>105516</v>
      </c>
      <c r="C314" s="80" t="s">
        <v>105924</v>
      </c>
      <c r="D314" s="80" t="s">
        <v>105520</v>
      </c>
      <c r="E314" s="80" t="s">
        <v>105573</v>
      </c>
      <c r="F314" s="80" t="s">
        <v>105553</v>
      </c>
      <c r="G314" s="80" t="s">
        <v>105550</v>
      </c>
      <c r="H314" s="80" t="s">
        <v>105520</v>
      </c>
      <c r="I314" s="80" t="s">
        <v>106217</v>
      </c>
      <c r="J314" s="416"/>
      <c r="K314" s="80"/>
      <c r="L314" s="436"/>
      <c r="M314" s="304" t="s">
        <v>107104</v>
      </c>
      <c r="N314" s="83"/>
      <c r="O314" s="83" t="s">
        <v>112995</v>
      </c>
      <c r="P314" s="84"/>
      <c r="Q314" s="84"/>
      <c r="R314" s="85">
        <f>SUM(R315:R316)</f>
        <v>23510545.010000002</v>
      </c>
      <c r="S314" s="85">
        <f>SUM(S315:S316)</f>
        <v>110000000</v>
      </c>
      <c r="T314" s="85">
        <f t="shared" ref="T314" si="120">SUM(T315:T316)</f>
        <v>133000000</v>
      </c>
      <c r="U314" s="85">
        <f>SUM(U315:U316)</f>
        <v>0</v>
      </c>
      <c r="V314" s="85"/>
      <c r="W314" s="86"/>
      <c r="X314" s="86"/>
      <c r="Y314" s="341"/>
    </row>
    <row r="315" spans="2:25" ht="45" x14ac:dyDescent="0.2">
      <c r="B315" s="88"/>
      <c r="C315" s="89"/>
      <c r="D315" s="89"/>
      <c r="E315" s="89"/>
      <c r="F315" s="89"/>
      <c r="G315" s="89"/>
      <c r="H315" s="89"/>
      <c r="I315" s="89"/>
      <c r="J315" s="89"/>
      <c r="K315" s="96" t="s">
        <v>112614</v>
      </c>
      <c r="L315" s="91" t="s">
        <v>113244</v>
      </c>
      <c r="M315" s="102" t="s">
        <v>113713</v>
      </c>
      <c r="N315" s="93">
        <v>45839</v>
      </c>
      <c r="O315" s="93" t="s">
        <v>113010</v>
      </c>
      <c r="P315" s="94" t="s">
        <v>113155</v>
      </c>
      <c r="Q315" s="94" t="s">
        <v>113038</v>
      </c>
      <c r="R315" s="472">
        <v>23510545.010000002</v>
      </c>
      <c r="S315" s="449">
        <v>80000000</v>
      </c>
      <c r="T315" s="571">
        <v>80000000</v>
      </c>
      <c r="U315" s="472">
        <v>0</v>
      </c>
      <c r="V315" s="95"/>
      <c r="W315" s="96"/>
      <c r="X315" s="97"/>
      <c r="Y315" s="96" t="s">
        <v>113019</v>
      </c>
    </row>
    <row r="316" spans="2:25" ht="45" x14ac:dyDescent="0.2">
      <c r="B316" s="88"/>
      <c r="C316" s="89"/>
      <c r="D316" s="89"/>
      <c r="E316" s="89"/>
      <c r="F316" s="89"/>
      <c r="G316" s="89"/>
      <c r="H316" s="89"/>
      <c r="I316" s="89"/>
      <c r="J316" s="89"/>
      <c r="K316" s="96" t="s">
        <v>112614</v>
      </c>
      <c r="L316" s="127">
        <v>73152100</v>
      </c>
      <c r="M316" s="120" t="s">
        <v>113157</v>
      </c>
      <c r="N316" s="93">
        <v>45838</v>
      </c>
      <c r="O316" s="93" t="s">
        <v>113546</v>
      </c>
      <c r="P316" s="94"/>
      <c r="Q316" s="94" t="s">
        <v>113007</v>
      </c>
      <c r="R316" s="472">
        <v>0</v>
      </c>
      <c r="S316" s="564">
        <v>30000000</v>
      </c>
      <c r="T316" s="571">
        <v>53000000</v>
      </c>
      <c r="U316" s="472">
        <v>0</v>
      </c>
      <c r="V316" s="95"/>
      <c r="W316" s="96"/>
      <c r="X316" s="97"/>
      <c r="Y316" s="96" t="s">
        <v>113000</v>
      </c>
    </row>
    <row r="317" spans="2:25" x14ac:dyDescent="0.2">
      <c r="B317" s="63" t="s">
        <v>105516</v>
      </c>
      <c r="C317" s="63" t="s">
        <v>105924</v>
      </c>
      <c r="D317" s="63" t="s">
        <v>105520</v>
      </c>
      <c r="E317" s="63" t="s">
        <v>105573</v>
      </c>
      <c r="F317" s="63" t="s">
        <v>105556</v>
      </c>
      <c r="G317" s="63"/>
      <c r="H317" s="63"/>
      <c r="I317" s="63"/>
      <c r="J317" s="414"/>
      <c r="K317" s="254"/>
      <c r="L317" s="65"/>
      <c r="M317" s="306" t="s">
        <v>107164</v>
      </c>
      <c r="N317" s="67"/>
      <c r="O317" s="67"/>
      <c r="P317" s="68"/>
      <c r="Q317" s="68"/>
      <c r="R317" s="69">
        <f>R318</f>
        <v>0</v>
      </c>
      <c r="S317" s="69">
        <f>S318</f>
        <v>0</v>
      </c>
      <c r="T317" s="69">
        <f t="shared" ref="T317" si="121">T318</f>
        <v>0</v>
      </c>
      <c r="U317" s="69">
        <f>U318</f>
        <v>0</v>
      </c>
      <c r="V317" s="69"/>
      <c r="W317" s="70"/>
      <c r="X317" s="70"/>
      <c r="Y317" s="254"/>
    </row>
    <row r="318" spans="2:25" ht="45" x14ac:dyDescent="0.2">
      <c r="B318" s="170" t="s">
        <v>105516</v>
      </c>
      <c r="C318" s="170" t="s">
        <v>105924</v>
      </c>
      <c r="D318" s="170" t="s">
        <v>105520</v>
      </c>
      <c r="E318" s="170" t="s">
        <v>105573</v>
      </c>
      <c r="F318" s="170" t="s">
        <v>105556</v>
      </c>
      <c r="G318" s="170" t="s">
        <v>105541</v>
      </c>
      <c r="H318" s="170"/>
      <c r="I318" s="170"/>
      <c r="J318" s="422"/>
      <c r="K318" s="170"/>
      <c r="L318" s="171"/>
      <c r="M318" s="307" t="s">
        <v>107192</v>
      </c>
      <c r="N318" s="173"/>
      <c r="O318" s="173" t="s">
        <v>112995</v>
      </c>
      <c r="P318" s="174"/>
      <c r="Q318" s="174"/>
      <c r="R318" s="175">
        <f>+R319</f>
        <v>0</v>
      </c>
      <c r="S318" s="175">
        <f>+S319</f>
        <v>0</v>
      </c>
      <c r="T318" s="175">
        <f t="shared" ref="T318" si="122">+T319</f>
        <v>0</v>
      </c>
      <c r="U318" s="175">
        <f>+U319</f>
        <v>0</v>
      </c>
      <c r="V318" s="175"/>
      <c r="W318" s="176"/>
      <c r="X318" s="176"/>
      <c r="Y318" s="170"/>
    </row>
    <row r="319" spans="2:25" x14ac:dyDescent="0.2">
      <c r="B319" s="80" t="s">
        <v>105516</v>
      </c>
      <c r="C319" s="80" t="s">
        <v>105924</v>
      </c>
      <c r="D319" s="80" t="s">
        <v>105520</v>
      </c>
      <c r="E319" s="80" t="s">
        <v>105573</v>
      </c>
      <c r="F319" s="81" t="s">
        <v>105556</v>
      </c>
      <c r="G319" s="81" t="s">
        <v>105541</v>
      </c>
      <c r="H319" s="81" t="s">
        <v>106109</v>
      </c>
      <c r="I319" s="80"/>
      <c r="J319" s="416"/>
      <c r="K319" s="80"/>
      <c r="L319" s="436"/>
      <c r="M319" s="304" t="s">
        <v>107204</v>
      </c>
      <c r="N319" s="83"/>
      <c r="O319" s="83" t="s">
        <v>112995</v>
      </c>
      <c r="P319" s="84"/>
      <c r="Q319" s="84"/>
      <c r="R319" s="85">
        <f>R320</f>
        <v>0</v>
      </c>
      <c r="S319" s="85">
        <f>S320</f>
        <v>0</v>
      </c>
      <c r="T319" s="85">
        <f t="shared" ref="T319" si="123">T320</f>
        <v>0</v>
      </c>
      <c r="U319" s="85">
        <f>U320</f>
        <v>0</v>
      </c>
      <c r="V319" s="85"/>
      <c r="W319" s="86"/>
      <c r="X319" s="86"/>
      <c r="Y319" s="341"/>
    </row>
    <row r="320" spans="2:25" ht="60" x14ac:dyDescent="0.2">
      <c r="B320" s="88"/>
      <c r="C320" s="89"/>
      <c r="D320" s="89"/>
      <c r="E320" s="89"/>
      <c r="F320" s="89"/>
      <c r="G320" s="89"/>
      <c r="H320" s="89"/>
      <c r="I320" s="89"/>
      <c r="J320" s="89"/>
      <c r="K320" s="96" t="s">
        <v>112664</v>
      </c>
      <c r="L320" s="91" t="s">
        <v>113306</v>
      </c>
      <c r="M320" s="92" t="s">
        <v>113740</v>
      </c>
      <c r="N320" s="93">
        <v>45444</v>
      </c>
      <c r="O320" s="93" t="s">
        <v>113010</v>
      </c>
      <c r="P320" s="94" t="s">
        <v>113007</v>
      </c>
      <c r="Q320" s="94" t="s">
        <v>113052</v>
      </c>
      <c r="R320" s="97">
        <v>0</v>
      </c>
      <c r="S320" s="95">
        <f>20000000-15134000-4866000</f>
        <v>0</v>
      </c>
      <c r="T320" s="104">
        <v>0</v>
      </c>
      <c r="U320" s="97">
        <v>0</v>
      </c>
      <c r="V320" s="98" t="s">
        <v>113000</v>
      </c>
      <c r="W320" s="96"/>
      <c r="X320" s="95"/>
      <c r="Y320" s="96"/>
    </row>
    <row r="321" spans="2:25" ht="15.75" x14ac:dyDescent="0.2">
      <c r="B321" s="208" t="s">
        <v>105516</v>
      </c>
      <c r="C321" s="208" t="s">
        <v>106103</v>
      </c>
      <c r="D321" s="208"/>
      <c r="E321" s="208"/>
      <c r="F321" s="208"/>
      <c r="G321" s="208"/>
      <c r="H321" s="208"/>
      <c r="I321" s="208"/>
      <c r="J321" s="426"/>
      <c r="K321" s="404"/>
      <c r="L321" s="210"/>
      <c r="M321" s="211" t="s">
        <v>112750</v>
      </c>
      <c r="N321" s="212"/>
      <c r="O321" s="212" t="s">
        <v>112995</v>
      </c>
      <c r="P321" s="213"/>
      <c r="Q321" s="213"/>
      <c r="R321" s="485">
        <f>R322+R325</f>
        <v>1978000000</v>
      </c>
      <c r="S321" s="214">
        <f>SUM(S322+S325)</f>
        <v>230000000</v>
      </c>
      <c r="T321" s="214">
        <f t="shared" ref="T321" si="124">SUM(T322+T325)</f>
        <v>230000000</v>
      </c>
      <c r="U321" s="485">
        <f>U322+U325</f>
        <v>1978000000</v>
      </c>
      <c r="V321" s="214">
        <v>5800000000</v>
      </c>
      <c r="W321" s="215"/>
      <c r="X321" s="215"/>
      <c r="Y321" s="404"/>
    </row>
    <row r="322" spans="2:25" ht="15.75" x14ac:dyDescent="0.2">
      <c r="B322" s="217" t="s">
        <v>105516</v>
      </c>
      <c r="C322" s="217" t="s">
        <v>106103</v>
      </c>
      <c r="D322" s="217" t="s">
        <v>105520</v>
      </c>
      <c r="E322" s="217"/>
      <c r="F322" s="217"/>
      <c r="G322" s="217"/>
      <c r="H322" s="217"/>
      <c r="I322" s="217"/>
      <c r="J322" s="427"/>
      <c r="K322" s="217"/>
      <c r="L322" s="218"/>
      <c r="M322" s="219" t="s">
        <v>112752</v>
      </c>
      <c r="N322" s="220"/>
      <c r="O322" s="220" t="s">
        <v>112995</v>
      </c>
      <c r="P322" s="221"/>
      <c r="Q322" s="221"/>
      <c r="R322" s="486">
        <v>158000000</v>
      </c>
      <c r="S322" s="222">
        <f>S323+S324</f>
        <v>230000000</v>
      </c>
      <c r="T322" s="222">
        <f t="shared" ref="T322" si="125">T323+T324</f>
        <v>230000000</v>
      </c>
      <c r="U322" s="486">
        <v>158000000</v>
      </c>
      <c r="V322" s="222"/>
      <c r="W322" s="223"/>
      <c r="X322" s="223"/>
      <c r="Y322" s="217"/>
    </row>
    <row r="323" spans="2:25" ht="15.75" x14ac:dyDescent="0.2">
      <c r="B323" s="225"/>
      <c r="C323" s="226"/>
      <c r="D323" s="226"/>
      <c r="E323" s="226"/>
      <c r="F323" s="226"/>
      <c r="G323" s="226"/>
      <c r="H323" s="226"/>
      <c r="I323" s="226"/>
      <c r="J323" s="226"/>
      <c r="K323" s="96" t="s">
        <v>112751</v>
      </c>
      <c r="L323" s="127"/>
      <c r="M323" s="102" t="s">
        <v>112754</v>
      </c>
      <c r="N323" s="94" t="s">
        <v>113031</v>
      </c>
      <c r="O323" s="94" t="s">
        <v>113031</v>
      </c>
      <c r="P323" s="94" t="s">
        <v>113031</v>
      </c>
      <c r="Q323" s="94" t="s">
        <v>113031</v>
      </c>
      <c r="R323" s="472">
        <v>60000000</v>
      </c>
      <c r="S323" s="95">
        <v>150000000</v>
      </c>
      <c r="T323" s="571">
        <v>150000000</v>
      </c>
      <c r="U323" s="472">
        <v>60000000</v>
      </c>
      <c r="V323" s="95"/>
      <c r="W323" s="96"/>
      <c r="X323" s="201"/>
      <c r="Y323" s="398" t="s">
        <v>113012</v>
      </c>
    </row>
    <row r="324" spans="2:25" ht="15.75" x14ac:dyDescent="0.2">
      <c r="B324" s="225"/>
      <c r="C324" s="226"/>
      <c r="D324" s="226"/>
      <c r="E324" s="226"/>
      <c r="F324" s="226"/>
      <c r="G324" s="226"/>
      <c r="H324" s="226"/>
      <c r="I324" s="226"/>
      <c r="J324" s="226"/>
      <c r="K324" s="96" t="s">
        <v>112751</v>
      </c>
      <c r="L324" s="127"/>
      <c r="M324" s="102" t="s">
        <v>112756</v>
      </c>
      <c r="N324" s="94" t="s">
        <v>113031</v>
      </c>
      <c r="O324" s="94" t="s">
        <v>113031</v>
      </c>
      <c r="P324" s="94" t="s">
        <v>113031</v>
      </c>
      <c r="Q324" s="94" t="s">
        <v>113031</v>
      </c>
      <c r="R324" s="472">
        <v>98000000</v>
      </c>
      <c r="S324" s="95">
        <v>80000000</v>
      </c>
      <c r="T324" s="571">
        <v>80000000</v>
      </c>
      <c r="U324" s="472">
        <v>98000000</v>
      </c>
      <c r="V324" s="95"/>
      <c r="W324" s="96"/>
      <c r="X324" s="201"/>
      <c r="Y324" s="398" t="s">
        <v>113012</v>
      </c>
    </row>
    <row r="325" spans="2:25" ht="15.75" x14ac:dyDescent="0.2">
      <c r="B325" s="217" t="s">
        <v>105516</v>
      </c>
      <c r="C325" s="217" t="s">
        <v>106103</v>
      </c>
      <c r="D325" s="217" t="s">
        <v>105675</v>
      </c>
      <c r="E325" s="217"/>
      <c r="F325" s="217"/>
      <c r="G325" s="217"/>
      <c r="H325" s="217"/>
      <c r="I325" s="217"/>
      <c r="J325" s="427"/>
      <c r="K325" s="217"/>
      <c r="L325" s="218"/>
      <c r="M325" s="219" t="s">
        <v>112762</v>
      </c>
      <c r="N325" s="220"/>
      <c r="O325" s="220" t="s">
        <v>112995</v>
      </c>
      <c r="P325" s="221"/>
      <c r="Q325" s="221"/>
      <c r="R325" s="486">
        <v>1820000000</v>
      </c>
      <c r="S325" s="222">
        <f>+S326</f>
        <v>0</v>
      </c>
      <c r="T325" s="367">
        <v>0</v>
      </c>
      <c r="U325" s="486">
        <v>1820000000</v>
      </c>
      <c r="V325" s="222"/>
      <c r="W325" s="223"/>
      <c r="X325" s="223"/>
      <c r="Y325" s="217"/>
    </row>
    <row r="326" spans="2:25" ht="15.75" x14ac:dyDescent="0.2">
      <c r="B326" s="225"/>
      <c r="C326" s="226"/>
      <c r="D326" s="226"/>
      <c r="E326" s="226"/>
      <c r="F326" s="226"/>
      <c r="G326" s="226"/>
      <c r="H326" s="226"/>
      <c r="I326" s="226"/>
      <c r="J326" s="226"/>
      <c r="K326" s="96" t="s">
        <v>112761</v>
      </c>
      <c r="L326" s="127"/>
      <c r="M326" s="102"/>
      <c r="N326" s="94"/>
      <c r="O326" s="94"/>
      <c r="P326" s="94"/>
      <c r="Q326" s="94"/>
      <c r="R326" s="472"/>
      <c r="S326" s="95"/>
      <c r="T326" s="571"/>
      <c r="U326" s="472"/>
      <c r="V326" s="95"/>
      <c r="W326" s="96"/>
      <c r="X326" s="201"/>
      <c r="Y326" s="200"/>
    </row>
    <row r="327" spans="2:25" ht="15.75" x14ac:dyDescent="0.2">
      <c r="B327" s="229" t="s">
        <v>105516</v>
      </c>
      <c r="C327" s="229" t="s">
        <v>106106</v>
      </c>
      <c r="D327" s="229"/>
      <c r="E327" s="229"/>
      <c r="F327" s="229"/>
      <c r="G327" s="229"/>
      <c r="H327" s="229"/>
      <c r="I327" s="229"/>
      <c r="J327" s="428"/>
      <c r="K327" s="405"/>
      <c r="L327" s="231"/>
      <c r="M327" s="232" t="s">
        <v>112766</v>
      </c>
      <c r="N327" s="233"/>
      <c r="O327" s="233" t="s">
        <v>112995</v>
      </c>
      <c r="P327" s="234"/>
      <c r="Q327" s="234"/>
      <c r="R327" s="487">
        <f>R328+R336+R339</f>
        <v>3821000000</v>
      </c>
      <c r="S327" s="235">
        <f>SUM(S328+S336+S339)</f>
        <v>3804214242</v>
      </c>
      <c r="T327" s="235">
        <f t="shared" ref="T327" si="126">SUM(T328+T336+T339)</f>
        <v>3804214242</v>
      </c>
      <c r="U327" s="487">
        <f>U328+U336+U339</f>
        <v>3821000000</v>
      </c>
      <c r="V327" s="235">
        <v>4535000000</v>
      </c>
      <c r="W327" s="236"/>
      <c r="X327" s="236"/>
      <c r="Y327" s="405"/>
    </row>
    <row r="328" spans="2:25" ht="15.75" x14ac:dyDescent="0.2">
      <c r="B328" s="238" t="s">
        <v>105516</v>
      </c>
      <c r="C328" s="238" t="s">
        <v>106106</v>
      </c>
      <c r="D328" s="238" t="s">
        <v>105520</v>
      </c>
      <c r="E328" s="238"/>
      <c r="F328" s="238"/>
      <c r="G328" s="238"/>
      <c r="H328" s="238"/>
      <c r="I328" s="238"/>
      <c r="J328" s="429"/>
      <c r="K328" s="238"/>
      <c r="L328" s="239"/>
      <c r="M328" s="240" t="s">
        <v>112768</v>
      </c>
      <c r="N328" s="241"/>
      <c r="O328" s="241" t="s">
        <v>112995</v>
      </c>
      <c r="P328" s="242"/>
      <c r="Q328" s="242"/>
      <c r="R328" s="488">
        <f>R329</f>
        <v>3586000000</v>
      </c>
      <c r="S328" s="243">
        <f>+S329</f>
        <v>3804214242</v>
      </c>
      <c r="T328" s="243">
        <f t="shared" ref="T328" si="127">+T329</f>
        <v>3804214242</v>
      </c>
      <c r="U328" s="488">
        <f>U329</f>
        <v>3586000000</v>
      </c>
      <c r="V328" s="243"/>
      <c r="W328" s="244"/>
      <c r="X328" s="244"/>
      <c r="Y328" s="238"/>
    </row>
    <row r="329" spans="2:25" x14ac:dyDescent="0.2">
      <c r="B329" s="246" t="s">
        <v>105516</v>
      </c>
      <c r="C329" s="246" t="s">
        <v>106106</v>
      </c>
      <c r="D329" s="246" t="s">
        <v>105520</v>
      </c>
      <c r="E329" s="246" t="s">
        <v>105573</v>
      </c>
      <c r="F329" s="246"/>
      <c r="G329" s="246"/>
      <c r="H329" s="246"/>
      <c r="I329" s="246"/>
      <c r="J329" s="430"/>
      <c r="K329" s="246"/>
      <c r="L329" s="247"/>
      <c r="M329" s="248" t="s">
        <v>112780</v>
      </c>
      <c r="N329" s="249"/>
      <c r="O329" s="249" t="s">
        <v>112995</v>
      </c>
      <c r="P329" s="250"/>
      <c r="Q329" s="250"/>
      <c r="R329" s="489">
        <f>R330+R332+R334</f>
        <v>3586000000</v>
      </c>
      <c r="S329" s="251">
        <f>+S330+S332+S334</f>
        <v>3804214242</v>
      </c>
      <c r="T329" s="251">
        <f t="shared" ref="T329" si="128">+T330+T332+T334</f>
        <v>3804214242</v>
      </c>
      <c r="U329" s="489">
        <f>U330+U332+U334</f>
        <v>3586000000</v>
      </c>
      <c r="V329" s="251"/>
      <c r="W329" s="252"/>
      <c r="X329" s="252"/>
      <c r="Y329" s="246"/>
    </row>
    <row r="330" spans="2:25" x14ac:dyDescent="0.2">
      <c r="B330" s="254" t="s">
        <v>105516</v>
      </c>
      <c r="C330" s="254" t="s">
        <v>106106</v>
      </c>
      <c r="D330" s="254" t="s">
        <v>105520</v>
      </c>
      <c r="E330" s="254" t="s">
        <v>105573</v>
      </c>
      <c r="F330" s="254" t="s">
        <v>105528</v>
      </c>
      <c r="G330" s="254"/>
      <c r="H330" s="254"/>
      <c r="I330" s="254"/>
      <c r="J330" s="431"/>
      <c r="K330" s="254"/>
      <c r="L330" s="65"/>
      <c r="M330" s="66" t="s">
        <v>113160</v>
      </c>
      <c r="N330" s="67"/>
      <c r="O330" s="67" t="s">
        <v>112995</v>
      </c>
      <c r="P330" s="68"/>
      <c r="Q330" s="68"/>
      <c r="R330" s="469">
        <v>3492000000</v>
      </c>
      <c r="S330" s="69">
        <f>+S331</f>
        <v>3804214242</v>
      </c>
      <c r="T330" s="69">
        <f t="shared" ref="T330" si="129">+T331</f>
        <v>3804214242</v>
      </c>
      <c r="U330" s="469">
        <v>3492000000</v>
      </c>
      <c r="V330" s="69"/>
      <c r="W330" s="70"/>
      <c r="X330" s="70"/>
      <c r="Y330" s="254"/>
    </row>
    <row r="331" spans="2:25" x14ac:dyDescent="0.2">
      <c r="B331" s="88"/>
      <c r="C331" s="89"/>
      <c r="D331" s="89"/>
      <c r="E331" s="89"/>
      <c r="F331" s="89"/>
      <c r="G331" s="89"/>
      <c r="H331" s="89"/>
      <c r="I331" s="89"/>
      <c r="J331" s="89"/>
      <c r="K331" s="96" t="s">
        <v>112781</v>
      </c>
      <c r="L331" s="255"/>
      <c r="M331" s="92" t="s">
        <v>112782</v>
      </c>
      <c r="N331" s="94"/>
      <c r="O331" s="94"/>
      <c r="P331" s="94"/>
      <c r="Q331" s="94"/>
      <c r="R331" s="205">
        <f>3492000000-15256052</f>
        <v>3476743948</v>
      </c>
      <c r="S331" s="205">
        <v>3804214242</v>
      </c>
      <c r="T331" s="205">
        <v>3804214242</v>
      </c>
      <c r="U331" s="205">
        <f>3492000000-15256052</f>
        <v>3476743948</v>
      </c>
      <c r="V331" s="205"/>
      <c r="W331" s="96"/>
      <c r="X331" s="256"/>
      <c r="Y331" s="200"/>
    </row>
    <row r="332" spans="2:25" x14ac:dyDescent="0.2">
      <c r="B332" s="254" t="s">
        <v>105516</v>
      </c>
      <c r="C332" s="254" t="s">
        <v>106106</v>
      </c>
      <c r="D332" s="254" t="s">
        <v>105520</v>
      </c>
      <c r="E332" s="254" t="s">
        <v>105573</v>
      </c>
      <c r="F332" s="254" t="s">
        <v>105538</v>
      </c>
      <c r="G332" s="254"/>
      <c r="H332" s="254"/>
      <c r="I332" s="254"/>
      <c r="J332" s="431"/>
      <c r="K332" s="254"/>
      <c r="L332" s="65"/>
      <c r="M332" s="66" t="s">
        <v>112786</v>
      </c>
      <c r="N332" s="67"/>
      <c r="O332" s="67" t="s">
        <v>112995</v>
      </c>
      <c r="P332" s="68"/>
      <c r="Q332" s="68"/>
      <c r="R332" s="469">
        <v>90000000</v>
      </c>
      <c r="S332" s="69">
        <f>+S333</f>
        <v>0</v>
      </c>
      <c r="T332" s="69">
        <f t="shared" ref="T332" si="130">+T333</f>
        <v>0</v>
      </c>
      <c r="U332" s="469">
        <v>90000000</v>
      </c>
      <c r="V332" s="69"/>
      <c r="W332" s="70"/>
      <c r="X332" s="70"/>
      <c r="Y332" s="254"/>
    </row>
    <row r="333" spans="2:25" x14ac:dyDescent="0.2">
      <c r="B333" s="88"/>
      <c r="C333" s="89"/>
      <c r="D333" s="89"/>
      <c r="E333" s="89"/>
      <c r="F333" s="89"/>
      <c r="G333" s="89"/>
      <c r="H333" s="89"/>
      <c r="I333" s="89"/>
      <c r="J333" s="89"/>
      <c r="K333" s="96" t="s">
        <v>112785</v>
      </c>
      <c r="L333" s="127"/>
      <c r="M333" s="92"/>
      <c r="N333" s="94"/>
      <c r="O333" s="94"/>
      <c r="P333" s="94"/>
      <c r="Q333" s="94"/>
      <c r="R333" s="472"/>
      <c r="S333" s="95"/>
      <c r="T333" s="571"/>
      <c r="U333" s="472"/>
      <c r="V333" s="95"/>
      <c r="W333" s="96"/>
      <c r="X333" s="97"/>
      <c r="Y333" s="96"/>
    </row>
    <row r="334" spans="2:25" x14ac:dyDescent="0.2">
      <c r="B334" s="254" t="s">
        <v>105516</v>
      </c>
      <c r="C334" s="254" t="s">
        <v>106106</v>
      </c>
      <c r="D334" s="254" t="s">
        <v>105520</v>
      </c>
      <c r="E334" s="254" t="s">
        <v>105573</v>
      </c>
      <c r="F334" s="254" t="s">
        <v>105547</v>
      </c>
      <c r="G334" s="254"/>
      <c r="H334" s="254"/>
      <c r="I334" s="254"/>
      <c r="J334" s="431"/>
      <c r="K334" s="254"/>
      <c r="L334" s="65"/>
      <c r="M334" s="66" t="s">
        <v>112792</v>
      </c>
      <c r="N334" s="67"/>
      <c r="O334" s="67" t="s">
        <v>112995</v>
      </c>
      <c r="P334" s="68"/>
      <c r="Q334" s="68"/>
      <c r="R334" s="469">
        <v>4000000</v>
      </c>
      <c r="S334" s="69">
        <f>+S335</f>
        <v>0</v>
      </c>
      <c r="T334" s="69">
        <f t="shared" ref="T334" si="131">+T335</f>
        <v>0</v>
      </c>
      <c r="U334" s="469">
        <v>4000000</v>
      </c>
      <c r="V334" s="69"/>
      <c r="W334" s="70"/>
      <c r="X334" s="70"/>
      <c r="Y334" s="254"/>
    </row>
    <row r="335" spans="2:25" x14ac:dyDescent="0.2">
      <c r="B335" s="88"/>
      <c r="C335" s="89"/>
      <c r="D335" s="89"/>
      <c r="E335" s="89"/>
      <c r="F335" s="89"/>
      <c r="G335" s="89"/>
      <c r="H335" s="89"/>
      <c r="I335" s="89"/>
      <c r="J335" s="89"/>
      <c r="K335" s="96" t="s">
        <v>112791</v>
      </c>
      <c r="L335" s="127"/>
      <c r="M335" s="92"/>
      <c r="N335" s="94"/>
      <c r="O335" s="94"/>
      <c r="P335" s="94"/>
      <c r="Q335" s="94"/>
      <c r="R335" s="472"/>
      <c r="S335" s="95"/>
      <c r="T335" s="571"/>
      <c r="U335" s="472"/>
      <c r="V335" s="95"/>
      <c r="W335" s="96"/>
      <c r="X335" s="97"/>
      <c r="Y335" s="96"/>
    </row>
    <row r="336" spans="2:25" ht="15.75" x14ac:dyDescent="0.2">
      <c r="B336" s="238" t="s">
        <v>105516</v>
      </c>
      <c r="C336" s="238" t="s">
        <v>106106</v>
      </c>
      <c r="D336" s="238" t="s">
        <v>105917</v>
      </c>
      <c r="E336" s="238"/>
      <c r="F336" s="238"/>
      <c r="G336" s="238"/>
      <c r="H336" s="238"/>
      <c r="I336" s="238"/>
      <c r="J336" s="429"/>
      <c r="K336" s="238"/>
      <c r="L336" s="239"/>
      <c r="M336" s="240" t="s">
        <v>112804</v>
      </c>
      <c r="N336" s="241"/>
      <c r="O336" s="241" t="s">
        <v>112995</v>
      </c>
      <c r="P336" s="242"/>
      <c r="Q336" s="242"/>
      <c r="R336" s="488">
        <f>R337+R338</f>
        <v>182000000</v>
      </c>
      <c r="S336" s="243">
        <f>+S337+S338</f>
        <v>0</v>
      </c>
      <c r="T336" s="243">
        <f t="shared" ref="T336" si="132">+T337+T338</f>
        <v>0</v>
      </c>
      <c r="U336" s="488">
        <f>U337+U338</f>
        <v>182000000</v>
      </c>
      <c r="V336" s="243"/>
      <c r="W336" s="244"/>
      <c r="X336" s="244"/>
      <c r="Y336" s="238"/>
    </row>
    <row r="337" spans="2:25" x14ac:dyDescent="0.2">
      <c r="B337" s="246" t="s">
        <v>105516</v>
      </c>
      <c r="C337" s="246" t="s">
        <v>106106</v>
      </c>
      <c r="D337" s="246" t="s">
        <v>105917</v>
      </c>
      <c r="E337" s="246" t="s">
        <v>105520</v>
      </c>
      <c r="F337" s="246"/>
      <c r="G337" s="246"/>
      <c r="H337" s="246"/>
      <c r="I337" s="246"/>
      <c r="J337" s="430"/>
      <c r="K337" s="246" t="s">
        <v>112805</v>
      </c>
      <c r="L337" s="247"/>
      <c r="M337" s="248" t="s">
        <v>112806</v>
      </c>
      <c r="N337" s="249" t="s">
        <v>112995</v>
      </c>
      <c r="O337" s="249" t="s">
        <v>113031</v>
      </c>
      <c r="P337" s="250"/>
      <c r="Q337" s="250"/>
      <c r="R337" s="490">
        <v>136000000</v>
      </c>
      <c r="S337" s="258"/>
      <c r="T337" s="576"/>
      <c r="U337" s="490">
        <v>136000000</v>
      </c>
      <c r="V337" s="258"/>
      <c r="W337" s="246"/>
      <c r="X337" s="259"/>
      <c r="Y337" s="246"/>
    </row>
    <row r="338" spans="2:25" x14ac:dyDescent="0.2">
      <c r="B338" s="246" t="s">
        <v>105516</v>
      </c>
      <c r="C338" s="246" t="s">
        <v>106106</v>
      </c>
      <c r="D338" s="246" t="s">
        <v>105917</v>
      </c>
      <c r="E338" s="246" t="s">
        <v>105917</v>
      </c>
      <c r="F338" s="246"/>
      <c r="G338" s="246"/>
      <c r="H338" s="246"/>
      <c r="I338" s="246"/>
      <c r="J338" s="430"/>
      <c r="K338" s="246" t="s">
        <v>112811</v>
      </c>
      <c r="L338" s="247"/>
      <c r="M338" s="248" t="s">
        <v>113162</v>
      </c>
      <c r="N338" s="249"/>
      <c r="O338" s="249"/>
      <c r="P338" s="250"/>
      <c r="Q338" s="250"/>
      <c r="R338" s="490">
        <v>46000000</v>
      </c>
      <c r="S338" s="258"/>
      <c r="T338" s="576"/>
      <c r="U338" s="490">
        <v>46000000</v>
      </c>
      <c r="V338" s="258"/>
      <c r="W338" s="246"/>
      <c r="X338" s="259"/>
      <c r="Y338" s="246"/>
    </row>
    <row r="339" spans="2:25" ht="15.75" x14ac:dyDescent="0.2">
      <c r="B339" s="238" t="s">
        <v>105516</v>
      </c>
      <c r="C339" s="238" t="s">
        <v>106106</v>
      </c>
      <c r="D339" s="260" t="s">
        <v>105924</v>
      </c>
      <c r="E339" s="238"/>
      <c r="F339" s="238"/>
      <c r="G339" s="238"/>
      <c r="H339" s="238"/>
      <c r="I339" s="238"/>
      <c r="J339" s="429"/>
      <c r="K339" s="238"/>
      <c r="L339" s="239"/>
      <c r="M339" s="240" t="s">
        <v>112822</v>
      </c>
      <c r="N339" s="241"/>
      <c r="O339" s="241" t="s">
        <v>112995</v>
      </c>
      <c r="P339" s="242"/>
      <c r="Q339" s="242"/>
      <c r="R339" s="488">
        <f>R340</f>
        <v>53000000</v>
      </c>
      <c r="S339" s="243">
        <f>+S340</f>
        <v>0</v>
      </c>
      <c r="T339" s="243">
        <f t="shared" ref="T339" si="133">+T340</f>
        <v>0</v>
      </c>
      <c r="U339" s="488">
        <f>U340</f>
        <v>53000000</v>
      </c>
      <c r="V339" s="243"/>
      <c r="W339" s="244"/>
      <c r="X339" s="244"/>
      <c r="Y339" s="238"/>
    </row>
    <row r="340" spans="2:25" x14ac:dyDescent="0.2">
      <c r="B340" s="246" t="s">
        <v>105516</v>
      </c>
      <c r="C340" s="246" t="s">
        <v>106106</v>
      </c>
      <c r="D340" s="261" t="s">
        <v>105924</v>
      </c>
      <c r="E340" s="246"/>
      <c r="F340" s="246"/>
      <c r="G340" s="246"/>
      <c r="H340" s="246"/>
      <c r="I340" s="246"/>
      <c r="J340" s="430"/>
      <c r="K340" s="246"/>
      <c r="L340" s="247"/>
      <c r="M340" s="248" t="s">
        <v>112822</v>
      </c>
      <c r="N340" s="249" t="s">
        <v>112995</v>
      </c>
      <c r="O340" s="249" t="s">
        <v>113031</v>
      </c>
      <c r="P340" s="250"/>
      <c r="Q340" s="250"/>
      <c r="R340" s="490">
        <v>53000000</v>
      </c>
      <c r="S340" s="258">
        <v>0</v>
      </c>
      <c r="T340" s="576">
        <v>0</v>
      </c>
      <c r="U340" s="490">
        <v>53000000</v>
      </c>
      <c r="V340" s="258"/>
      <c r="W340" s="246"/>
      <c r="X340" s="259"/>
      <c r="Y340" s="246"/>
    </row>
    <row r="341" spans="2:25" ht="15.75" x14ac:dyDescent="0.2">
      <c r="B341" s="262" t="s">
        <v>113163</v>
      </c>
      <c r="C341" s="262"/>
      <c r="D341" s="262"/>
      <c r="E341" s="262"/>
      <c r="F341" s="262"/>
      <c r="G341" s="262"/>
      <c r="H341" s="262"/>
      <c r="I341" s="262"/>
      <c r="J341" s="432"/>
      <c r="K341" s="262"/>
      <c r="L341" s="263"/>
      <c r="M341" s="264" t="s">
        <v>113164</v>
      </c>
      <c r="N341" s="265"/>
      <c r="O341" s="265" t="s">
        <v>112995</v>
      </c>
      <c r="P341" s="266"/>
      <c r="Q341" s="266"/>
      <c r="R341" s="491">
        <f>R342</f>
        <v>38560000000</v>
      </c>
      <c r="S341" s="267">
        <f>S342</f>
        <v>38520000000</v>
      </c>
      <c r="T341" s="267">
        <f t="shared" ref="T341" si="134">T342</f>
        <v>38520000000</v>
      </c>
      <c r="U341" s="491">
        <f>U342</f>
        <v>38560000000</v>
      </c>
      <c r="V341" s="267">
        <f>+V344+V384</f>
        <v>38200000000</v>
      </c>
      <c r="W341" s="268"/>
      <c r="X341" s="268"/>
      <c r="Y341" s="262"/>
    </row>
    <row r="342" spans="2:25" ht="30.75" customHeight="1" x14ac:dyDescent="0.2">
      <c r="B342" s="270" t="s">
        <v>113163</v>
      </c>
      <c r="C342" s="270" t="s">
        <v>113165</v>
      </c>
      <c r="D342" s="270"/>
      <c r="E342" s="270"/>
      <c r="F342" s="270"/>
      <c r="G342" s="270"/>
      <c r="H342" s="270"/>
      <c r="I342" s="270"/>
      <c r="J342" s="433"/>
      <c r="K342" s="270"/>
      <c r="L342" s="271"/>
      <c r="M342" s="272" t="s">
        <v>113166</v>
      </c>
      <c r="N342" s="273"/>
      <c r="O342" s="273" t="s">
        <v>112995</v>
      </c>
      <c r="P342" s="274"/>
      <c r="Q342" s="274"/>
      <c r="R342" s="492">
        <f>R343</f>
        <v>38560000000</v>
      </c>
      <c r="S342" s="275">
        <f>+S343</f>
        <v>38520000000</v>
      </c>
      <c r="T342" s="275">
        <f t="shared" ref="T342" si="135">+T343</f>
        <v>38520000000</v>
      </c>
      <c r="U342" s="492">
        <f>U343</f>
        <v>38560000000</v>
      </c>
      <c r="V342" s="275"/>
      <c r="W342" s="276"/>
      <c r="X342" s="276"/>
      <c r="Y342" s="406"/>
    </row>
    <row r="343" spans="2:25" ht="15.75" x14ac:dyDescent="0.2">
      <c r="B343" s="278" t="s">
        <v>113163</v>
      </c>
      <c r="C343" s="278">
        <v>1505</v>
      </c>
      <c r="D343" s="309" t="s">
        <v>113167</v>
      </c>
      <c r="E343" s="278"/>
      <c r="F343" s="278"/>
      <c r="G343" s="278"/>
      <c r="H343" s="278"/>
      <c r="I343" s="278"/>
      <c r="J343" s="434"/>
      <c r="K343" s="278"/>
      <c r="L343" s="279"/>
      <c r="M343" s="280" t="s">
        <v>113168</v>
      </c>
      <c r="N343" s="281"/>
      <c r="O343" s="281" t="s">
        <v>112995</v>
      </c>
      <c r="P343" s="282"/>
      <c r="Q343" s="282"/>
      <c r="R343" s="493">
        <f>R344+R384</f>
        <v>38560000000</v>
      </c>
      <c r="S343" s="283">
        <f>+S384+S344</f>
        <v>38520000000</v>
      </c>
      <c r="T343" s="283">
        <f t="shared" ref="T343" si="136">+T384+T344</f>
        <v>38520000000</v>
      </c>
      <c r="U343" s="493">
        <f>U344+U384</f>
        <v>38560000000</v>
      </c>
      <c r="V343" s="283"/>
      <c r="W343" s="284"/>
      <c r="X343" s="284"/>
      <c r="Y343" s="407"/>
    </row>
    <row r="344" spans="2:25" ht="30" x14ac:dyDescent="0.2">
      <c r="B344" s="254" t="s">
        <v>113163</v>
      </c>
      <c r="C344" s="254">
        <v>1505</v>
      </c>
      <c r="D344" s="254" t="s">
        <v>113167</v>
      </c>
      <c r="E344" s="308" t="s">
        <v>105675</v>
      </c>
      <c r="F344" s="254"/>
      <c r="G344" s="254"/>
      <c r="H344" s="254"/>
      <c r="I344" s="254"/>
      <c r="J344" s="431"/>
      <c r="K344" s="254"/>
      <c r="L344" s="65"/>
      <c r="M344" s="66" t="s">
        <v>113182</v>
      </c>
      <c r="N344" s="67"/>
      <c r="O344" s="67" t="s">
        <v>112995</v>
      </c>
      <c r="P344" s="68"/>
      <c r="Q344" s="68"/>
      <c r="R344" s="469">
        <f>R345</f>
        <v>20795000000</v>
      </c>
      <c r="S344" s="69">
        <f>+S345</f>
        <v>20755000000</v>
      </c>
      <c r="T344" s="69">
        <f t="shared" ref="T344" si="137">+T345</f>
        <v>20755000000</v>
      </c>
      <c r="U344" s="469">
        <f>U345</f>
        <v>20795000000</v>
      </c>
      <c r="V344" s="69">
        <v>17200000000</v>
      </c>
      <c r="W344" s="70"/>
      <c r="X344" s="70"/>
      <c r="Y344" s="254"/>
    </row>
    <row r="345" spans="2:25" ht="15.75" x14ac:dyDescent="0.2">
      <c r="B345" s="289" t="s">
        <v>113163</v>
      </c>
      <c r="C345" s="289">
        <v>1505</v>
      </c>
      <c r="D345" s="289" t="s">
        <v>113167</v>
      </c>
      <c r="E345" s="289" t="s">
        <v>105675</v>
      </c>
      <c r="F345" s="289" t="s">
        <v>113226</v>
      </c>
      <c r="G345" s="289">
        <v>1505006</v>
      </c>
      <c r="H345" s="289"/>
      <c r="I345" s="289"/>
      <c r="J345" s="435"/>
      <c r="K345" s="289"/>
      <c r="L345" s="35"/>
      <c r="M345" s="36" t="s">
        <v>112994</v>
      </c>
      <c r="N345" s="290"/>
      <c r="O345" s="290" t="s">
        <v>112995</v>
      </c>
      <c r="P345" s="291"/>
      <c r="Q345" s="291"/>
      <c r="R345" s="494">
        <v>20795000000</v>
      </c>
      <c r="S345" s="296">
        <f>SUM(S346:S383)</f>
        <v>20755000000</v>
      </c>
      <c r="T345" s="296">
        <f t="shared" ref="T345" si="138">SUM(T346:T383)</f>
        <v>20755000000</v>
      </c>
      <c r="U345" s="494">
        <v>20795000000</v>
      </c>
      <c r="V345" s="296"/>
      <c r="W345" s="297"/>
      <c r="X345" s="297"/>
      <c r="Y345" s="408"/>
    </row>
    <row r="346" spans="2:25" ht="60" x14ac:dyDescent="0.2">
      <c r="B346" s="88"/>
      <c r="C346" s="89"/>
      <c r="D346" s="89"/>
      <c r="E346" s="89"/>
      <c r="F346" s="89"/>
      <c r="G346" s="89"/>
      <c r="H346" s="89"/>
      <c r="I346" s="89"/>
      <c r="J346" s="89"/>
      <c r="K346" s="96" t="s">
        <v>113724</v>
      </c>
      <c r="L346" s="91" t="s">
        <v>113170</v>
      </c>
      <c r="M346" s="438" t="s">
        <v>113454</v>
      </c>
      <c r="N346" s="93">
        <v>45662</v>
      </c>
      <c r="O346" s="93" t="s">
        <v>113060</v>
      </c>
      <c r="P346" s="94" t="s">
        <v>113022</v>
      </c>
      <c r="Q346" s="94" t="s">
        <v>113715</v>
      </c>
      <c r="R346" s="477"/>
      <c r="S346" s="118">
        <v>4286426295</v>
      </c>
      <c r="T346" s="573">
        <v>4286426295</v>
      </c>
      <c r="U346" s="477"/>
      <c r="V346" s="118"/>
      <c r="W346" s="96"/>
      <c r="X346" s="141"/>
      <c r="Y346" s="400"/>
    </row>
    <row r="347" spans="2:25" ht="105" x14ac:dyDescent="0.2">
      <c r="B347" s="88"/>
      <c r="C347" s="89"/>
      <c r="D347" s="89"/>
      <c r="E347" s="89"/>
      <c r="F347" s="89"/>
      <c r="G347" s="89"/>
      <c r="H347" s="89"/>
      <c r="I347" s="89"/>
      <c r="J347" s="89"/>
      <c r="K347" s="96" t="s">
        <v>113724</v>
      </c>
      <c r="L347" s="91">
        <v>81101500</v>
      </c>
      <c r="M347" s="438" t="s">
        <v>113455</v>
      </c>
      <c r="N347" s="93">
        <v>45662</v>
      </c>
      <c r="O347" s="93" t="s">
        <v>113060</v>
      </c>
      <c r="P347" s="94" t="s">
        <v>113022</v>
      </c>
      <c r="Q347" s="94" t="s">
        <v>113716</v>
      </c>
      <c r="R347" s="477"/>
      <c r="S347" s="118">
        <v>445450049</v>
      </c>
      <c r="T347" s="573">
        <v>445450049</v>
      </c>
      <c r="U347" s="477"/>
      <c r="V347" s="118"/>
      <c r="W347" s="96"/>
      <c r="X347" s="141"/>
      <c r="Y347" s="400"/>
    </row>
    <row r="348" spans="2:25" ht="60" x14ac:dyDescent="0.2">
      <c r="B348" s="88"/>
      <c r="C348" s="89"/>
      <c r="D348" s="89"/>
      <c r="E348" s="89"/>
      <c r="F348" s="89"/>
      <c r="G348" s="89"/>
      <c r="H348" s="89"/>
      <c r="I348" s="89"/>
      <c r="J348" s="89"/>
      <c r="K348" s="96" t="s">
        <v>113724</v>
      </c>
      <c r="L348" s="91" t="s">
        <v>113170</v>
      </c>
      <c r="M348" s="438" t="s">
        <v>113456</v>
      </c>
      <c r="N348" s="93">
        <v>45662</v>
      </c>
      <c r="O348" s="93" t="s">
        <v>113060</v>
      </c>
      <c r="P348" s="94" t="s">
        <v>113022</v>
      </c>
      <c r="Q348" s="94" t="s">
        <v>113715</v>
      </c>
      <c r="R348" s="477"/>
      <c r="S348" s="118">
        <v>1773272720</v>
      </c>
      <c r="T348" s="573">
        <v>1773272720</v>
      </c>
      <c r="U348" s="477"/>
      <c r="V348" s="118"/>
      <c r="W348" s="96"/>
      <c r="X348" s="141"/>
      <c r="Y348" s="400"/>
    </row>
    <row r="349" spans="2:25" ht="90" x14ac:dyDescent="0.2">
      <c r="B349" s="88"/>
      <c r="C349" s="89"/>
      <c r="D349" s="89"/>
      <c r="E349" s="89"/>
      <c r="F349" s="89"/>
      <c r="G349" s="89"/>
      <c r="H349" s="89"/>
      <c r="I349" s="89"/>
      <c r="J349" s="89"/>
      <c r="K349" s="96" t="s">
        <v>113724</v>
      </c>
      <c r="L349" s="91">
        <v>81101500</v>
      </c>
      <c r="M349" s="438" t="s">
        <v>113457</v>
      </c>
      <c r="N349" s="93">
        <v>45662</v>
      </c>
      <c r="O349" s="93" t="s">
        <v>113060</v>
      </c>
      <c r="P349" s="94" t="s">
        <v>113022</v>
      </c>
      <c r="Q349" s="94" t="s">
        <v>113716</v>
      </c>
      <c r="R349" s="477"/>
      <c r="S349" s="118">
        <v>184065708</v>
      </c>
      <c r="T349" s="573">
        <v>184065708</v>
      </c>
      <c r="U349" s="477"/>
      <c r="V349" s="118"/>
      <c r="W349" s="96"/>
      <c r="X349" s="141"/>
      <c r="Y349" s="400"/>
    </row>
    <row r="350" spans="2:25" ht="60" x14ac:dyDescent="0.2">
      <c r="B350" s="88"/>
      <c r="C350" s="89"/>
      <c r="D350" s="89"/>
      <c r="E350" s="89"/>
      <c r="F350" s="89"/>
      <c r="G350" s="89"/>
      <c r="H350" s="89"/>
      <c r="I350" s="89"/>
      <c r="J350" s="89"/>
      <c r="K350" s="96" t="s">
        <v>113724</v>
      </c>
      <c r="L350" s="91" t="s">
        <v>113170</v>
      </c>
      <c r="M350" s="438" t="s">
        <v>113458</v>
      </c>
      <c r="N350" s="93">
        <v>45662</v>
      </c>
      <c r="O350" s="93" t="s">
        <v>113060</v>
      </c>
      <c r="P350" s="94" t="s">
        <v>113022</v>
      </c>
      <c r="Q350" s="94" t="s">
        <v>113715</v>
      </c>
      <c r="R350" s="477"/>
      <c r="S350" s="118">
        <v>1510274233</v>
      </c>
      <c r="T350" s="573">
        <v>1510274233</v>
      </c>
      <c r="U350" s="477"/>
      <c r="V350" s="118"/>
      <c r="W350" s="96"/>
      <c r="X350" s="141"/>
      <c r="Y350" s="400"/>
    </row>
    <row r="351" spans="2:25" ht="90" x14ac:dyDescent="0.2">
      <c r="B351" s="88"/>
      <c r="C351" s="89"/>
      <c r="D351" s="89"/>
      <c r="E351" s="89"/>
      <c r="F351" s="89"/>
      <c r="G351" s="89"/>
      <c r="H351" s="89"/>
      <c r="I351" s="89"/>
      <c r="J351" s="89"/>
      <c r="K351" s="96" t="s">
        <v>113724</v>
      </c>
      <c r="L351" s="91">
        <v>81101500</v>
      </c>
      <c r="M351" s="438" t="s">
        <v>113459</v>
      </c>
      <c r="N351" s="93">
        <v>45662</v>
      </c>
      <c r="O351" s="93" t="s">
        <v>113060</v>
      </c>
      <c r="P351" s="94" t="s">
        <v>113022</v>
      </c>
      <c r="Q351" s="94" t="s">
        <v>113716</v>
      </c>
      <c r="R351" s="477"/>
      <c r="S351" s="118">
        <v>170000000</v>
      </c>
      <c r="T351" s="573">
        <v>170000000</v>
      </c>
      <c r="U351" s="477"/>
      <c r="V351" s="118"/>
      <c r="W351" s="96"/>
      <c r="X351" s="141"/>
      <c r="Y351" s="400"/>
    </row>
    <row r="352" spans="2:25" ht="60" x14ac:dyDescent="0.2">
      <c r="B352" s="88"/>
      <c r="C352" s="89"/>
      <c r="D352" s="89"/>
      <c r="E352" s="89"/>
      <c r="F352" s="89"/>
      <c r="G352" s="89"/>
      <c r="H352" s="89"/>
      <c r="I352" s="89"/>
      <c r="J352" s="89"/>
      <c r="K352" s="96" t="s">
        <v>113724</v>
      </c>
      <c r="L352" s="91" t="s">
        <v>113170</v>
      </c>
      <c r="M352" s="438" t="s">
        <v>113717</v>
      </c>
      <c r="N352" s="93">
        <v>45662</v>
      </c>
      <c r="O352" s="93" t="s">
        <v>113060</v>
      </c>
      <c r="P352" s="94" t="s">
        <v>113022</v>
      </c>
      <c r="Q352" s="94" t="s">
        <v>113715</v>
      </c>
      <c r="R352" s="477"/>
      <c r="S352" s="118">
        <v>3170285360</v>
      </c>
      <c r="T352" s="573">
        <v>3170285360</v>
      </c>
      <c r="U352" s="477"/>
      <c r="V352" s="118"/>
      <c r="W352" s="96"/>
      <c r="X352" s="141"/>
      <c r="Y352" s="400"/>
    </row>
    <row r="353" spans="2:25" ht="105" x14ac:dyDescent="0.2">
      <c r="B353" s="88"/>
      <c r="C353" s="89"/>
      <c r="D353" s="89"/>
      <c r="E353" s="89"/>
      <c r="F353" s="89"/>
      <c r="G353" s="89"/>
      <c r="H353" s="89"/>
      <c r="I353" s="89"/>
      <c r="J353" s="89"/>
      <c r="K353" s="96" t="s">
        <v>113724</v>
      </c>
      <c r="L353" s="91">
        <v>81101500</v>
      </c>
      <c r="M353" s="438" t="s">
        <v>113461</v>
      </c>
      <c r="N353" s="93">
        <v>45662</v>
      </c>
      <c r="O353" s="93" t="s">
        <v>113060</v>
      </c>
      <c r="P353" s="94" t="s">
        <v>113022</v>
      </c>
      <c r="Q353" s="94" t="s">
        <v>113716</v>
      </c>
      <c r="R353" s="477"/>
      <c r="S353" s="118">
        <v>355000000</v>
      </c>
      <c r="T353" s="573">
        <v>355000000</v>
      </c>
      <c r="U353" s="477"/>
      <c r="V353" s="118"/>
      <c r="W353" s="96"/>
      <c r="X353" s="141"/>
      <c r="Y353" s="400"/>
    </row>
    <row r="354" spans="2:25" ht="60" x14ac:dyDescent="0.2">
      <c r="B354" s="88"/>
      <c r="C354" s="89"/>
      <c r="D354" s="89"/>
      <c r="E354" s="89"/>
      <c r="F354" s="89"/>
      <c r="G354" s="89"/>
      <c r="H354" s="89"/>
      <c r="I354" s="89"/>
      <c r="J354" s="89"/>
      <c r="K354" s="96" t="s">
        <v>113724</v>
      </c>
      <c r="L354" s="91" t="s">
        <v>113170</v>
      </c>
      <c r="M354" s="438" t="s">
        <v>113718</v>
      </c>
      <c r="N354" s="93">
        <v>45662</v>
      </c>
      <c r="O354" s="93" t="s">
        <v>113060</v>
      </c>
      <c r="P354" s="94" t="s">
        <v>113022</v>
      </c>
      <c r="Q354" s="94" t="s">
        <v>113715</v>
      </c>
      <c r="R354" s="477"/>
      <c r="S354" s="118">
        <v>3360110000</v>
      </c>
      <c r="T354" s="573">
        <v>3360110000</v>
      </c>
      <c r="U354" s="477"/>
      <c r="V354" s="118"/>
      <c r="W354" s="96"/>
      <c r="X354" s="141"/>
      <c r="Y354" s="400"/>
    </row>
    <row r="355" spans="2:25" ht="90" x14ac:dyDescent="0.2">
      <c r="B355" s="88"/>
      <c r="C355" s="89"/>
      <c r="D355" s="89"/>
      <c r="E355" s="89"/>
      <c r="F355" s="89"/>
      <c r="G355" s="89"/>
      <c r="H355" s="89"/>
      <c r="I355" s="89"/>
      <c r="J355" s="89"/>
      <c r="K355" s="96" t="s">
        <v>113724</v>
      </c>
      <c r="L355" s="91">
        <v>81101500</v>
      </c>
      <c r="M355" s="438" t="s">
        <v>113719</v>
      </c>
      <c r="N355" s="93">
        <v>45662</v>
      </c>
      <c r="O355" s="93" t="s">
        <v>113060</v>
      </c>
      <c r="P355" s="94" t="s">
        <v>113022</v>
      </c>
      <c r="Q355" s="94" t="s">
        <v>113716</v>
      </c>
      <c r="R355" s="477"/>
      <c r="S355" s="118">
        <v>375000000</v>
      </c>
      <c r="T355" s="573">
        <v>375000000</v>
      </c>
      <c r="U355" s="477"/>
      <c r="V355" s="118"/>
      <c r="W355" s="96"/>
      <c r="X355" s="141"/>
      <c r="Y355" s="400"/>
    </row>
    <row r="356" spans="2:25" ht="45" x14ac:dyDescent="0.2">
      <c r="B356" s="88"/>
      <c r="C356" s="89"/>
      <c r="D356" s="89"/>
      <c r="E356" s="89"/>
      <c r="F356" s="89"/>
      <c r="G356" s="89"/>
      <c r="H356" s="89"/>
      <c r="I356" s="89"/>
      <c r="J356" s="89"/>
      <c r="K356" s="96" t="s">
        <v>113724</v>
      </c>
      <c r="L356" s="91" t="s">
        <v>113170</v>
      </c>
      <c r="M356" s="438" t="s">
        <v>113465</v>
      </c>
      <c r="N356" s="93">
        <v>45693</v>
      </c>
      <c r="O356" s="93" t="s">
        <v>113060</v>
      </c>
      <c r="P356" s="94" t="s">
        <v>113002</v>
      </c>
      <c r="Q356" s="94" t="s">
        <v>113715</v>
      </c>
      <c r="R356" s="477"/>
      <c r="S356" s="118">
        <f>2000000000+810815635</f>
        <v>2810815635</v>
      </c>
      <c r="T356" s="573">
        <v>2810815635</v>
      </c>
      <c r="U356" s="477"/>
      <c r="V356" s="118"/>
      <c r="W356" s="96"/>
      <c r="X356" s="141"/>
      <c r="Y356" s="400"/>
    </row>
    <row r="357" spans="2:25" ht="75" x14ac:dyDescent="0.2">
      <c r="B357" s="88"/>
      <c r="C357" s="89"/>
      <c r="D357" s="89"/>
      <c r="E357" s="89"/>
      <c r="F357" s="89"/>
      <c r="G357" s="89"/>
      <c r="H357" s="89"/>
      <c r="I357" s="89"/>
      <c r="J357" s="89"/>
      <c r="K357" s="96" t="s">
        <v>113724</v>
      </c>
      <c r="L357" s="91">
        <v>81101500</v>
      </c>
      <c r="M357" s="438" t="s">
        <v>113466</v>
      </c>
      <c r="N357" s="93">
        <v>45662</v>
      </c>
      <c r="O357" s="93" t="s">
        <v>113060</v>
      </c>
      <c r="P357" s="94" t="s">
        <v>113022</v>
      </c>
      <c r="Q357" s="94" t="s">
        <v>113716</v>
      </c>
      <c r="R357" s="477"/>
      <c r="S357" s="118">
        <v>195000000</v>
      </c>
      <c r="T357" s="573">
        <v>195000000</v>
      </c>
      <c r="U357" s="477"/>
      <c r="V357" s="118"/>
      <c r="W357" s="96"/>
      <c r="X357" s="141"/>
      <c r="Y357" s="400"/>
    </row>
    <row r="358" spans="2:25" ht="60" x14ac:dyDescent="0.2">
      <c r="B358" s="88"/>
      <c r="C358" s="89"/>
      <c r="D358" s="89"/>
      <c r="E358" s="89"/>
      <c r="F358" s="89"/>
      <c r="G358" s="89"/>
      <c r="H358" s="89"/>
      <c r="I358" s="89"/>
      <c r="J358" s="89"/>
      <c r="K358" s="96" t="s">
        <v>113724</v>
      </c>
      <c r="L358" s="91" t="s">
        <v>113170</v>
      </c>
      <c r="M358" s="438" t="s">
        <v>113720</v>
      </c>
      <c r="N358" s="93">
        <v>45693</v>
      </c>
      <c r="O358" s="93" t="s">
        <v>113060</v>
      </c>
      <c r="P358" s="94" t="s">
        <v>113155</v>
      </c>
      <c r="Q358" s="94" t="s">
        <v>113715</v>
      </c>
      <c r="R358" s="477"/>
      <c r="S358" s="118">
        <v>700000000</v>
      </c>
      <c r="T358" s="573">
        <v>700000000</v>
      </c>
      <c r="U358" s="477"/>
      <c r="V358" s="118"/>
      <c r="W358" s="96"/>
      <c r="X358" s="141"/>
      <c r="Y358" s="400"/>
    </row>
    <row r="359" spans="2:25" ht="75" x14ac:dyDescent="0.2">
      <c r="B359" s="88"/>
      <c r="C359" s="89"/>
      <c r="D359" s="89"/>
      <c r="E359" s="89"/>
      <c r="F359" s="89"/>
      <c r="G359" s="89"/>
      <c r="H359" s="89"/>
      <c r="I359" s="89"/>
      <c r="J359" s="89"/>
      <c r="K359" s="96" t="s">
        <v>113724</v>
      </c>
      <c r="L359" s="91">
        <v>81101500</v>
      </c>
      <c r="M359" s="438" t="s">
        <v>113721</v>
      </c>
      <c r="N359" s="93">
        <v>45662</v>
      </c>
      <c r="O359" s="93" t="s">
        <v>113060</v>
      </c>
      <c r="P359" s="94" t="s">
        <v>113022</v>
      </c>
      <c r="Q359" s="94" t="s">
        <v>113716</v>
      </c>
      <c r="R359" s="477"/>
      <c r="S359" s="118">
        <v>110000000</v>
      </c>
      <c r="T359" s="573">
        <v>110000000</v>
      </c>
      <c r="U359" s="477"/>
      <c r="V359" s="118"/>
      <c r="W359" s="96"/>
      <c r="X359" s="141"/>
      <c r="Y359" s="400"/>
    </row>
    <row r="360" spans="2:25" ht="75" x14ac:dyDescent="0.2">
      <c r="B360" s="88"/>
      <c r="C360" s="89"/>
      <c r="D360" s="89"/>
      <c r="E360" s="89"/>
      <c r="F360" s="89"/>
      <c r="G360" s="89"/>
      <c r="H360" s="89"/>
      <c r="I360" s="89"/>
      <c r="J360" s="89"/>
      <c r="K360" s="96" t="s">
        <v>113724</v>
      </c>
      <c r="L360" s="91" t="s">
        <v>113722</v>
      </c>
      <c r="M360" s="438" t="s">
        <v>113467</v>
      </c>
      <c r="N360" s="93">
        <v>45662</v>
      </c>
      <c r="O360" s="93" t="s">
        <v>113060</v>
      </c>
      <c r="P360" s="94" t="s">
        <v>113004</v>
      </c>
      <c r="Q360" s="94" t="s">
        <v>113498</v>
      </c>
      <c r="R360" s="477"/>
      <c r="S360" s="118">
        <v>36900000</v>
      </c>
      <c r="T360" s="573">
        <v>36900000</v>
      </c>
      <c r="U360" s="477"/>
      <c r="V360" s="118"/>
      <c r="W360" s="96"/>
      <c r="X360" s="141"/>
      <c r="Y360" s="400"/>
    </row>
    <row r="361" spans="2:25" ht="75" x14ac:dyDescent="0.2">
      <c r="B361" s="88"/>
      <c r="C361" s="89"/>
      <c r="D361" s="89"/>
      <c r="E361" s="89"/>
      <c r="F361" s="89"/>
      <c r="G361" s="89"/>
      <c r="H361" s="89"/>
      <c r="I361" s="89"/>
      <c r="J361" s="89"/>
      <c r="K361" s="96" t="s">
        <v>113724</v>
      </c>
      <c r="L361" s="91" t="s">
        <v>113722</v>
      </c>
      <c r="M361" s="438" t="s">
        <v>113468</v>
      </c>
      <c r="N361" s="93">
        <v>45662</v>
      </c>
      <c r="O361" s="93" t="s">
        <v>113060</v>
      </c>
      <c r="P361" s="94" t="s">
        <v>113022</v>
      </c>
      <c r="Q361" s="94" t="s">
        <v>113498</v>
      </c>
      <c r="R361" s="477"/>
      <c r="S361" s="118">
        <v>41000000</v>
      </c>
      <c r="T361" s="573">
        <v>41000000</v>
      </c>
      <c r="U361" s="477"/>
      <c r="V361" s="118"/>
      <c r="W361" s="96"/>
      <c r="X361" s="141"/>
      <c r="Y361" s="400"/>
    </row>
    <row r="362" spans="2:25" ht="75" x14ac:dyDescent="0.2">
      <c r="B362" s="88"/>
      <c r="C362" s="89"/>
      <c r="D362" s="89"/>
      <c r="E362" s="89"/>
      <c r="F362" s="89"/>
      <c r="G362" s="89"/>
      <c r="H362" s="89"/>
      <c r="I362" s="89"/>
      <c r="J362" s="89"/>
      <c r="K362" s="96" t="s">
        <v>113724</v>
      </c>
      <c r="L362" s="91" t="s">
        <v>113722</v>
      </c>
      <c r="M362" s="438" t="s">
        <v>113469</v>
      </c>
      <c r="N362" s="93">
        <v>45662</v>
      </c>
      <c r="O362" s="93" t="s">
        <v>113060</v>
      </c>
      <c r="P362" s="94" t="s">
        <v>113022</v>
      </c>
      <c r="Q362" s="94" t="s">
        <v>113498</v>
      </c>
      <c r="R362" s="477"/>
      <c r="S362" s="118">
        <v>41000000</v>
      </c>
      <c r="T362" s="573">
        <v>41000000</v>
      </c>
      <c r="U362" s="477"/>
      <c r="V362" s="118"/>
      <c r="W362" s="96"/>
      <c r="X362" s="141"/>
      <c r="Y362" s="400"/>
    </row>
    <row r="363" spans="2:25" ht="75" x14ac:dyDescent="0.2">
      <c r="B363" s="88"/>
      <c r="C363" s="89"/>
      <c r="D363" s="89"/>
      <c r="E363" s="89"/>
      <c r="F363" s="89"/>
      <c r="G363" s="89"/>
      <c r="H363" s="89"/>
      <c r="I363" s="89"/>
      <c r="J363" s="89"/>
      <c r="K363" s="96" t="s">
        <v>113724</v>
      </c>
      <c r="L363" s="91" t="s">
        <v>113722</v>
      </c>
      <c r="M363" s="438" t="s">
        <v>113470</v>
      </c>
      <c r="N363" s="93">
        <v>45662</v>
      </c>
      <c r="O363" s="93" t="s">
        <v>113060</v>
      </c>
      <c r="P363" s="94" t="s">
        <v>113022</v>
      </c>
      <c r="Q363" s="94" t="s">
        <v>113498</v>
      </c>
      <c r="R363" s="477"/>
      <c r="S363" s="118">
        <v>41000000</v>
      </c>
      <c r="T363" s="573">
        <v>41000000</v>
      </c>
      <c r="U363" s="477"/>
      <c r="V363" s="118"/>
      <c r="W363" s="96"/>
      <c r="X363" s="141"/>
      <c r="Y363" s="400"/>
    </row>
    <row r="364" spans="2:25" ht="75" x14ac:dyDescent="0.2">
      <c r="B364" s="88"/>
      <c r="C364" s="89"/>
      <c r="D364" s="89"/>
      <c r="E364" s="89"/>
      <c r="F364" s="89"/>
      <c r="G364" s="89"/>
      <c r="H364" s="89"/>
      <c r="I364" s="89"/>
      <c r="J364" s="89"/>
      <c r="K364" s="96" t="s">
        <v>113724</v>
      </c>
      <c r="L364" s="91" t="s">
        <v>113722</v>
      </c>
      <c r="M364" s="438" t="s">
        <v>113471</v>
      </c>
      <c r="N364" s="93">
        <v>45662</v>
      </c>
      <c r="O364" s="93" t="s">
        <v>113060</v>
      </c>
      <c r="P364" s="94" t="s">
        <v>113022</v>
      </c>
      <c r="Q364" s="94" t="s">
        <v>113498</v>
      </c>
      <c r="R364" s="477"/>
      <c r="S364" s="118">
        <v>41000000</v>
      </c>
      <c r="T364" s="573">
        <v>41000000</v>
      </c>
      <c r="U364" s="477"/>
      <c r="V364" s="118"/>
      <c r="W364" s="96"/>
      <c r="X364" s="141"/>
      <c r="Y364" s="400"/>
    </row>
    <row r="365" spans="2:25" ht="75" x14ac:dyDescent="0.2">
      <c r="B365" s="88"/>
      <c r="C365" s="89"/>
      <c r="D365" s="89"/>
      <c r="E365" s="89"/>
      <c r="F365" s="89"/>
      <c r="G365" s="89"/>
      <c r="H365" s="89"/>
      <c r="I365" s="89"/>
      <c r="J365" s="89"/>
      <c r="K365" s="96" t="s">
        <v>113724</v>
      </c>
      <c r="L365" s="91" t="s">
        <v>113722</v>
      </c>
      <c r="M365" s="438" t="s">
        <v>113471</v>
      </c>
      <c r="N365" s="93">
        <v>45662</v>
      </c>
      <c r="O365" s="93" t="s">
        <v>113060</v>
      </c>
      <c r="P365" s="94" t="s">
        <v>113022</v>
      </c>
      <c r="Q365" s="94" t="s">
        <v>113498</v>
      </c>
      <c r="R365" s="477"/>
      <c r="S365" s="118">
        <v>41000000</v>
      </c>
      <c r="T365" s="573">
        <v>41000000</v>
      </c>
      <c r="U365" s="477"/>
      <c r="V365" s="118"/>
      <c r="W365" s="96"/>
      <c r="X365" s="141"/>
      <c r="Y365" s="400"/>
    </row>
    <row r="366" spans="2:25" ht="75" x14ac:dyDescent="0.2">
      <c r="B366" s="88"/>
      <c r="C366" s="89"/>
      <c r="D366" s="89"/>
      <c r="E366" s="89"/>
      <c r="F366" s="89"/>
      <c r="G366" s="89"/>
      <c r="H366" s="89"/>
      <c r="I366" s="89"/>
      <c r="J366" s="89"/>
      <c r="K366" s="96" t="s">
        <v>113724</v>
      </c>
      <c r="L366" s="91" t="s">
        <v>113722</v>
      </c>
      <c r="M366" s="438" t="s">
        <v>113471</v>
      </c>
      <c r="N366" s="93">
        <v>45662</v>
      </c>
      <c r="O366" s="93" t="s">
        <v>113060</v>
      </c>
      <c r="P366" s="94" t="s">
        <v>113022</v>
      </c>
      <c r="Q366" s="94" t="s">
        <v>113498</v>
      </c>
      <c r="R366" s="477"/>
      <c r="S366" s="118">
        <v>41000000</v>
      </c>
      <c r="T366" s="573">
        <v>41000000</v>
      </c>
      <c r="U366" s="477"/>
      <c r="V366" s="118"/>
      <c r="W366" s="96"/>
      <c r="X366" s="141"/>
      <c r="Y366" s="400"/>
    </row>
    <row r="367" spans="2:25" ht="75" x14ac:dyDescent="0.2">
      <c r="B367" s="88"/>
      <c r="C367" s="89"/>
      <c r="D367" s="89"/>
      <c r="E367" s="89"/>
      <c r="F367" s="89"/>
      <c r="G367" s="89"/>
      <c r="H367" s="89"/>
      <c r="I367" s="89"/>
      <c r="J367" s="89"/>
      <c r="K367" s="96" t="s">
        <v>113724</v>
      </c>
      <c r="L367" s="91" t="s">
        <v>113722</v>
      </c>
      <c r="M367" s="438" t="s">
        <v>113472</v>
      </c>
      <c r="N367" s="93">
        <v>45662</v>
      </c>
      <c r="O367" s="93" t="s">
        <v>113060</v>
      </c>
      <c r="P367" s="94" t="s">
        <v>113022</v>
      </c>
      <c r="Q367" s="94" t="s">
        <v>113498</v>
      </c>
      <c r="R367" s="477"/>
      <c r="S367" s="587">
        <v>41000000</v>
      </c>
      <c r="T367" s="573">
        <v>41000000</v>
      </c>
      <c r="U367" s="477"/>
      <c r="V367" s="118"/>
      <c r="W367" s="96"/>
      <c r="X367" s="141"/>
      <c r="Y367" s="400"/>
    </row>
    <row r="368" spans="2:25" ht="75" x14ac:dyDescent="0.2">
      <c r="B368" s="88"/>
      <c r="C368" s="89"/>
      <c r="D368" s="89"/>
      <c r="E368" s="89"/>
      <c r="F368" s="89"/>
      <c r="G368" s="89"/>
      <c r="H368" s="89"/>
      <c r="I368" s="89"/>
      <c r="J368" s="89"/>
      <c r="K368" s="96" t="s">
        <v>113724</v>
      </c>
      <c r="L368" s="91" t="s">
        <v>113722</v>
      </c>
      <c r="M368" s="438" t="s">
        <v>113472</v>
      </c>
      <c r="N368" s="93">
        <v>45662</v>
      </c>
      <c r="O368" s="93" t="s">
        <v>113060</v>
      </c>
      <c r="P368" s="94" t="s">
        <v>113022</v>
      </c>
      <c r="Q368" s="94" t="s">
        <v>113498</v>
      </c>
      <c r="R368" s="477"/>
      <c r="S368" s="587">
        <v>41000000</v>
      </c>
      <c r="T368" s="573">
        <v>41000000</v>
      </c>
      <c r="U368" s="477"/>
      <c r="V368" s="118"/>
      <c r="W368" s="96"/>
      <c r="X368" s="141"/>
      <c r="Y368" s="400"/>
    </row>
    <row r="369" spans="2:25" ht="75" x14ac:dyDescent="0.2">
      <c r="B369" s="88"/>
      <c r="C369" s="89"/>
      <c r="D369" s="89"/>
      <c r="E369" s="89"/>
      <c r="F369" s="89"/>
      <c r="G369" s="89"/>
      <c r="H369" s="89"/>
      <c r="I369" s="89"/>
      <c r="J369" s="89"/>
      <c r="K369" s="96" t="s">
        <v>113724</v>
      </c>
      <c r="L369" s="91" t="s">
        <v>113722</v>
      </c>
      <c r="M369" s="438" t="s">
        <v>113473</v>
      </c>
      <c r="N369" s="93">
        <v>45662</v>
      </c>
      <c r="O369" s="93" t="s">
        <v>113060</v>
      </c>
      <c r="P369" s="94" t="s">
        <v>113045</v>
      </c>
      <c r="Q369" s="94" t="s">
        <v>113498</v>
      </c>
      <c r="R369" s="477"/>
      <c r="S369" s="118">
        <v>8200000</v>
      </c>
      <c r="T369" s="573">
        <v>8200000</v>
      </c>
      <c r="U369" s="477"/>
      <c r="V369" s="118"/>
      <c r="W369" s="96"/>
      <c r="X369" s="141"/>
      <c r="Y369" s="400"/>
    </row>
    <row r="370" spans="2:25" ht="75" x14ac:dyDescent="0.2">
      <c r="B370" s="88"/>
      <c r="C370" s="89"/>
      <c r="D370" s="89"/>
      <c r="E370" s="89"/>
      <c r="F370" s="89"/>
      <c r="G370" s="89"/>
      <c r="H370" s="89"/>
      <c r="I370" s="89"/>
      <c r="J370" s="89"/>
      <c r="K370" s="96" t="s">
        <v>113724</v>
      </c>
      <c r="L370" s="91" t="s">
        <v>113722</v>
      </c>
      <c r="M370" s="438" t="s">
        <v>113474</v>
      </c>
      <c r="N370" s="93">
        <v>45662</v>
      </c>
      <c r="O370" s="93" t="s">
        <v>113060</v>
      </c>
      <c r="P370" s="94" t="s">
        <v>113022</v>
      </c>
      <c r="Q370" s="94" t="s">
        <v>113498</v>
      </c>
      <c r="R370" s="477"/>
      <c r="S370" s="587">
        <v>32000000</v>
      </c>
      <c r="T370" s="588">
        <v>32000000</v>
      </c>
      <c r="U370" s="477"/>
      <c r="V370" s="118"/>
      <c r="W370" s="96"/>
      <c r="X370" s="141"/>
      <c r="Y370" s="400"/>
    </row>
    <row r="371" spans="2:25" ht="75" x14ac:dyDescent="0.2">
      <c r="B371" s="88"/>
      <c r="C371" s="89"/>
      <c r="D371" s="89"/>
      <c r="E371" s="89"/>
      <c r="F371" s="89"/>
      <c r="G371" s="89"/>
      <c r="H371" s="89"/>
      <c r="I371" s="89"/>
      <c r="J371" s="89"/>
      <c r="K371" s="96" t="s">
        <v>113724</v>
      </c>
      <c r="L371" s="91" t="s">
        <v>113722</v>
      </c>
      <c r="M371" s="438" t="s">
        <v>113475</v>
      </c>
      <c r="N371" s="93">
        <v>45662</v>
      </c>
      <c r="O371" s="93" t="s">
        <v>113060</v>
      </c>
      <c r="P371" s="94" t="s">
        <v>113022</v>
      </c>
      <c r="Q371" s="94" t="s">
        <v>113498</v>
      </c>
      <c r="R371" s="477"/>
      <c r="S371" s="118">
        <v>32000000</v>
      </c>
      <c r="T371" s="573">
        <v>32000000</v>
      </c>
      <c r="U371" s="477"/>
      <c r="V371" s="118"/>
      <c r="W371" s="96"/>
      <c r="X371" s="141"/>
      <c r="Y371" s="400"/>
    </row>
    <row r="372" spans="2:25" ht="75" x14ac:dyDescent="0.2">
      <c r="B372" s="88"/>
      <c r="C372" s="89"/>
      <c r="D372" s="89"/>
      <c r="E372" s="89"/>
      <c r="F372" s="89"/>
      <c r="G372" s="89"/>
      <c r="H372" s="89"/>
      <c r="I372" s="89"/>
      <c r="J372" s="89"/>
      <c r="K372" s="96" t="s">
        <v>113724</v>
      </c>
      <c r="L372" s="91" t="s">
        <v>113722</v>
      </c>
      <c r="M372" s="438" t="s">
        <v>113475</v>
      </c>
      <c r="N372" s="93">
        <v>45662</v>
      </c>
      <c r="O372" s="93" t="s">
        <v>113060</v>
      </c>
      <c r="P372" s="94" t="s">
        <v>113022</v>
      </c>
      <c r="Q372" s="94" t="s">
        <v>113498</v>
      </c>
      <c r="R372" s="477"/>
      <c r="S372" s="118">
        <v>32000000</v>
      </c>
      <c r="T372" s="573">
        <v>32000000</v>
      </c>
      <c r="U372" s="477"/>
      <c r="V372" s="118"/>
      <c r="W372" s="96"/>
      <c r="X372" s="141"/>
      <c r="Y372" s="400"/>
    </row>
    <row r="373" spans="2:25" ht="75" x14ac:dyDescent="0.2">
      <c r="B373" s="88"/>
      <c r="C373" s="89"/>
      <c r="D373" s="89"/>
      <c r="E373" s="89"/>
      <c r="F373" s="89"/>
      <c r="G373" s="89"/>
      <c r="H373" s="89"/>
      <c r="I373" s="89"/>
      <c r="J373" s="89"/>
      <c r="K373" s="96" t="s">
        <v>113724</v>
      </c>
      <c r="L373" s="91" t="s">
        <v>113722</v>
      </c>
      <c r="M373" s="438" t="s">
        <v>113476</v>
      </c>
      <c r="N373" s="93">
        <v>45662</v>
      </c>
      <c r="O373" s="93" t="s">
        <v>113060</v>
      </c>
      <c r="P373" s="94" t="s">
        <v>113022</v>
      </c>
      <c r="Q373" s="94" t="s">
        <v>113498</v>
      </c>
      <c r="R373" s="477"/>
      <c r="S373" s="587">
        <v>32000000</v>
      </c>
      <c r="T373" s="573">
        <v>32000000</v>
      </c>
      <c r="U373" s="477"/>
      <c r="V373" s="118"/>
      <c r="W373" s="96"/>
      <c r="X373" s="141"/>
      <c r="Y373" s="400"/>
    </row>
    <row r="374" spans="2:25" ht="75" x14ac:dyDescent="0.2">
      <c r="B374" s="88"/>
      <c r="C374" s="89"/>
      <c r="D374" s="89"/>
      <c r="E374" s="89"/>
      <c r="F374" s="89"/>
      <c r="G374" s="89"/>
      <c r="H374" s="89"/>
      <c r="I374" s="89"/>
      <c r="J374" s="89"/>
      <c r="K374" s="96" t="s">
        <v>113724</v>
      </c>
      <c r="L374" s="91" t="s">
        <v>113722</v>
      </c>
      <c r="M374" s="438" t="s">
        <v>113477</v>
      </c>
      <c r="N374" s="93">
        <v>45662</v>
      </c>
      <c r="O374" s="93" t="s">
        <v>113060</v>
      </c>
      <c r="P374" s="94" t="s">
        <v>113022</v>
      </c>
      <c r="Q374" s="94" t="s">
        <v>113498</v>
      </c>
      <c r="R374" s="477"/>
      <c r="S374" s="587">
        <v>57000000</v>
      </c>
      <c r="T374" s="573">
        <v>57000000</v>
      </c>
      <c r="U374" s="477"/>
      <c r="V374" s="118"/>
      <c r="W374" s="96"/>
      <c r="X374" s="141"/>
      <c r="Y374" s="400"/>
    </row>
    <row r="375" spans="2:25" ht="75" x14ac:dyDescent="0.2">
      <c r="B375" s="88"/>
      <c r="C375" s="89"/>
      <c r="D375" s="89"/>
      <c r="E375" s="89"/>
      <c r="F375" s="89"/>
      <c r="G375" s="89"/>
      <c r="H375" s="89"/>
      <c r="I375" s="89"/>
      <c r="J375" s="89"/>
      <c r="K375" s="96" t="s">
        <v>113724</v>
      </c>
      <c r="L375" s="91" t="s">
        <v>113722</v>
      </c>
      <c r="M375" s="438" t="s">
        <v>113478</v>
      </c>
      <c r="N375" s="93">
        <v>45662</v>
      </c>
      <c r="O375" s="93" t="s">
        <v>113060</v>
      </c>
      <c r="P375" s="94" t="s">
        <v>113022</v>
      </c>
      <c r="Q375" s="94" t="s">
        <v>113498</v>
      </c>
      <c r="R375" s="477"/>
      <c r="S375" s="587">
        <v>57000000</v>
      </c>
      <c r="T375" s="573">
        <v>57000000</v>
      </c>
      <c r="U375" s="477"/>
      <c r="V375" s="118"/>
      <c r="W375" s="96"/>
      <c r="X375" s="141"/>
      <c r="Y375" s="400"/>
    </row>
    <row r="376" spans="2:25" ht="75" x14ac:dyDescent="0.2">
      <c r="B376" s="88"/>
      <c r="C376" s="89"/>
      <c r="D376" s="89"/>
      <c r="E376" s="89"/>
      <c r="F376" s="89"/>
      <c r="G376" s="89"/>
      <c r="H376" s="89"/>
      <c r="I376" s="89"/>
      <c r="J376" s="89"/>
      <c r="K376" s="96" t="s">
        <v>113724</v>
      </c>
      <c r="L376" s="91" t="s">
        <v>113722</v>
      </c>
      <c r="M376" s="438" t="s">
        <v>113479</v>
      </c>
      <c r="N376" s="93">
        <v>45662</v>
      </c>
      <c r="O376" s="93" t="s">
        <v>113060</v>
      </c>
      <c r="P376" s="94" t="s">
        <v>113022</v>
      </c>
      <c r="Q376" s="94" t="s">
        <v>113498</v>
      </c>
      <c r="R376" s="477"/>
      <c r="S376" s="118">
        <v>57000000</v>
      </c>
      <c r="T376" s="573">
        <v>57000000</v>
      </c>
      <c r="U376" s="477"/>
      <c r="V376" s="118"/>
      <c r="W376" s="96"/>
      <c r="X376" s="141"/>
      <c r="Y376" s="400"/>
    </row>
    <row r="377" spans="2:25" ht="75" x14ac:dyDescent="0.2">
      <c r="B377" s="88"/>
      <c r="C377" s="89"/>
      <c r="D377" s="89"/>
      <c r="E377" s="89"/>
      <c r="F377" s="89"/>
      <c r="G377" s="89"/>
      <c r="H377" s="89"/>
      <c r="I377" s="89"/>
      <c r="J377" s="89"/>
      <c r="K377" s="96" t="s">
        <v>113724</v>
      </c>
      <c r="L377" s="91" t="s">
        <v>113722</v>
      </c>
      <c r="M377" s="438" t="s">
        <v>113479</v>
      </c>
      <c r="N377" s="93">
        <v>45662</v>
      </c>
      <c r="O377" s="93" t="s">
        <v>113060</v>
      </c>
      <c r="P377" s="94" t="s">
        <v>113155</v>
      </c>
      <c r="Q377" s="94" t="s">
        <v>113498</v>
      </c>
      <c r="R377" s="477"/>
      <c r="S377" s="587">
        <v>28500000</v>
      </c>
      <c r="T377" s="573">
        <v>28500000</v>
      </c>
      <c r="U377" s="477"/>
      <c r="V377" s="118"/>
      <c r="W377" s="96"/>
      <c r="X377" s="141"/>
      <c r="Y377" s="400"/>
    </row>
    <row r="378" spans="2:25" ht="75" x14ac:dyDescent="0.2">
      <c r="B378" s="88"/>
      <c r="C378" s="89"/>
      <c r="D378" s="89"/>
      <c r="E378" s="89"/>
      <c r="F378" s="89"/>
      <c r="G378" s="89"/>
      <c r="H378" s="89"/>
      <c r="I378" s="89"/>
      <c r="J378" s="89"/>
      <c r="K378" s="96" t="s">
        <v>113724</v>
      </c>
      <c r="L378" s="91" t="s">
        <v>113722</v>
      </c>
      <c r="M378" s="438" t="s">
        <v>113480</v>
      </c>
      <c r="N378" s="93">
        <v>45662</v>
      </c>
      <c r="O378" s="93" t="s">
        <v>113060</v>
      </c>
      <c r="P378" s="94" t="s">
        <v>113004</v>
      </c>
      <c r="Q378" s="94" t="s">
        <v>113498</v>
      </c>
      <c r="R378" s="477"/>
      <c r="S378" s="587">
        <v>51300000</v>
      </c>
      <c r="T378" s="573">
        <v>51300000</v>
      </c>
      <c r="U378" s="477"/>
      <c r="V378" s="118"/>
      <c r="W378" s="96"/>
      <c r="X378" s="141"/>
      <c r="Y378" s="400"/>
    </row>
    <row r="379" spans="2:25" ht="30" x14ac:dyDescent="0.2">
      <c r="B379" s="88"/>
      <c r="C379" s="89"/>
      <c r="D379" s="89"/>
      <c r="E379" s="89"/>
      <c r="F379" s="89"/>
      <c r="G379" s="89"/>
      <c r="H379" s="89"/>
      <c r="I379" s="89"/>
      <c r="J379" s="89"/>
      <c r="K379" s="96" t="s">
        <v>113724</v>
      </c>
      <c r="L379" s="91">
        <v>90121600</v>
      </c>
      <c r="M379" s="439" t="s">
        <v>113481</v>
      </c>
      <c r="N379" s="93">
        <v>45662</v>
      </c>
      <c r="O379" s="93" t="s">
        <v>113060</v>
      </c>
      <c r="P379" s="94" t="s">
        <v>113022</v>
      </c>
      <c r="Q379" s="94" t="s">
        <v>113008</v>
      </c>
      <c r="R379" s="477"/>
      <c r="S379" s="118">
        <v>35000000</v>
      </c>
      <c r="T379" s="573">
        <v>35000000</v>
      </c>
      <c r="U379" s="477"/>
      <c r="V379" s="118"/>
      <c r="W379" s="96"/>
      <c r="X379" s="141"/>
      <c r="Y379" s="400"/>
    </row>
    <row r="380" spans="2:25" ht="45" x14ac:dyDescent="0.2">
      <c r="B380" s="88"/>
      <c r="C380" s="89"/>
      <c r="D380" s="89"/>
      <c r="E380" s="89"/>
      <c r="F380" s="89"/>
      <c r="G380" s="89"/>
      <c r="H380" s="89"/>
      <c r="I380" s="89"/>
      <c r="J380" s="89"/>
      <c r="K380" s="96" t="s">
        <v>113724</v>
      </c>
      <c r="L380" s="55">
        <v>43211500</v>
      </c>
      <c r="M380" s="439" t="s">
        <v>113723</v>
      </c>
      <c r="N380" s="93">
        <v>45813</v>
      </c>
      <c r="O380" s="93" t="s">
        <v>113001</v>
      </c>
      <c r="P380" s="94" t="s">
        <v>113045</v>
      </c>
      <c r="Q380" s="94" t="s">
        <v>113096</v>
      </c>
      <c r="R380" s="477"/>
      <c r="S380" s="118">
        <v>0</v>
      </c>
      <c r="T380" s="573">
        <v>0</v>
      </c>
      <c r="U380" s="477"/>
      <c r="V380" s="118"/>
      <c r="W380" s="96"/>
      <c r="X380" s="141"/>
      <c r="Y380" s="400"/>
    </row>
    <row r="381" spans="2:25" x14ac:dyDescent="0.2">
      <c r="B381" s="88"/>
      <c r="C381" s="89"/>
      <c r="D381" s="89"/>
      <c r="E381" s="89"/>
      <c r="F381" s="89"/>
      <c r="G381" s="89"/>
      <c r="H381" s="89"/>
      <c r="I381" s="89"/>
      <c r="J381" s="89"/>
      <c r="K381" s="96" t="s">
        <v>113724</v>
      </c>
      <c r="L381" s="91">
        <v>90111500</v>
      </c>
      <c r="M381" s="439" t="s">
        <v>113482</v>
      </c>
      <c r="N381" s="93"/>
      <c r="O381" s="93"/>
      <c r="P381" s="94"/>
      <c r="Q381" s="94"/>
      <c r="R381" s="477"/>
      <c r="S381" s="118">
        <v>45400000</v>
      </c>
      <c r="T381" s="573">
        <v>45400000</v>
      </c>
      <c r="U381" s="477"/>
      <c r="V381" s="118"/>
      <c r="W381" s="96"/>
      <c r="X381" s="141"/>
      <c r="Y381" s="400"/>
    </row>
    <row r="382" spans="2:25" x14ac:dyDescent="0.2">
      <c r="B382" s="88"/>
      <c r="C382" s="89"/>
      <c r="D382" s="89"/>
      <c r="E382" s="89"/>
      <c r="F382" s="89"/>
      <c r="G382" s="89"/>
      <c r="H382" s="89"/>
      <c r="I382" s="89"/>
      <c r="J382" s="89"/>
      <c r="K382" s="96" t="s">
        <v>113724</v>
      </c>
      <c r="L382" s="91"/>
      <c r="M382" s="92" t="s">
        <v>113483</v>
      </c>
      <c r="N382" s="93"/>
      <c r="O382" s="93"/>
      <c r="P382" s="94"/>
      <c r="Q382" s="94"/>
      <c r="R382" s="477"/>
      <c r="S382" s="118">
        <f>360000000+65000000</f>
        <v>425000000</v>
      </c>
      <c r="T382" s="573">
        <v>425000000</v>
      </c>
      <c r="U382" s="477"/>
      <c r="V382" s="118"/>
      <c r="W382" s="96"/>
      <c r="X382" s="141"/>
      <c r="Y382" s="400"/>
    </row>
    <row r="383" spans="2:25" x14ac:dyDescent="0.2">
      <c r="B383" s="88"/>
      <c r="C383" s="89"/>
      <c r="D383" s="89"/>
      <c r="E383" s="89"/>
      <c r="F383" s="89"/>
      <c r="G383" s="89"/>
      <c r="H383" s="89"/>
      <c r="I383" s="89"/>
      <c r="J383" s="89"/>
      <c r="K383" s="96" t="s">
        <v>113724</v>
      </c>
      <c r="L383" s="91"/>
      <c r="M383" s="92" t="s">
        <v>113032</v>
      </c>
      <c r="N383" s="93"/>
      <c r="O383" s="93"/>
      <c r="P383" s="94"/>
      <c r="Q383" s="94"/>
      <c r="R383" s="477"/>
      <c r="S383" s="118">
        <v>52000000</v>
      </c>
      <c r="T383" s="573">
        <v>52000000</v>
      </c>
      <c r="U383" s="477"/>
      <c r="V383" s="118"/>
      <c r="W383" s="96"/>
      <c r="X383" s="141"/>
      <c r="Y383" s="400"/>
    </row>
    <row r="384" spans="2:25" ht="30" x14ac:dyDescent="0.2">
      <c r="B384" s="254" t="s">
        <v>113163</v>
      </c>
      <c r="C384" s="254">
        <v>1505</v>
      </c>
      <c r="D384" s="308" t="s">
        <v>113167</v>
      </c>
      <c r="E384" s="308" t="s">
        <v>105917</v>
      </c>
      <c r="F384" s="254"/>
      <c r="G384" s="254"/>
      <c r="H384" s="254"/>
      <c r="I384" s="254"/>
      <c r="J384" s="431"/>
      <c r="K384" s="254"/>
      <c r="L384" s="65"/>
      <c r="M384" s="306" t="s">
        <v>113225</v>
      </c>
      <c r="N384" s="67"/>
      <c r="O384" s="67" t="s">
        <v>112995</v>
      </c>
      <c r="P384" s="68"/>
      <c r="Q384" s="68"/>
      <c r="R384" s="495">
        <f>R385</f>
        <v>17765000000</v>
      </c>
      <c r="S384" s="286">
        <f>+S385</f>
        <v>17765000000</v>
      </c>
      <c r="T384" s="286">
        <f t="shared" ref="T384" si="139">+T385</f>
        <v>17765000000</v>
      </c>
      <c r="U384" s="495">
        <f>U385</f>
        <v>17765000000</v>
      </c>
      <c r="V384" s="286">
        <v>21000000000</v>
      </c>
      <c r="W384" s="287"/>
      <c r="X384" s="287"/>
      <c r="Y384" s="409"/>
    </row>
    <row r="385" spans="2:25" ht="15.75" x14ac:dyDescent="0.2">
      <c r="B385" s="289" t="s">
        <v>113163</v>
      </c>
      <c r="C385" s="289">
        <v>1505</v>
      </c>
      <c r="D385" s="289" t="s">
        <v>113167</v>
      </c>
      <c r="E385" s="289" t="s">
        <v>105917</v>
      </c>
      <c r="F385" s="289" t="s">
        <v>113226</v>
      </c>
      <c r="G385" s="289">
        <v>1505006</v>
      </c>
      <c r="H385" s="289"/>
      <c r="I385" s="289"/>
      <c r="J385" s="435"/>
      <c r="K385" s="289"/>
      <c r="L385" s="35"/>
      <c r="M385" s="36" t="s">
        <v>112994</v>
      </c>
      <c r="N385" s="290"/>
      <c r="O385" s="290" t="s">
        <v>112995</v>
      </c>
      <c r="P385" s="291"/>
      <c r="Q385" s="291"/>
      <c r="R385" s="466">
        <v>17765000000</v>
      </c>
      <c r="S385" s="39">
        <f>SUM(S386:S400)</f>
        <v>17765000000</v>
      </c>
      <c r="T385" s="39">
        <f t="shared" ref="T385" si="140">SUM(T386:T400)</f>
        <v>17765000000</v>
      </c>
      <c r="U385" s="466">
        <v>17765000000</v>
      </c>
      <c r="V385" s="39"/>
      <c r="W385" s="40"/>
      <c r="X385" s="40"/>
      <c r="Y385" s="410"/>
    </row>
    <row r="386" spans="2:25" ht="60" x14ac:dyDescent="0.2">
      <c r="B386" s="88"/>
      <c r="C386" s="89"/>
      <c r="D386" s="89"/>
      <c r="E386" s="89"/>
      <c r="F386" s="89"/>
      <c r="G386" s="89"/>
      <c r="H386" s="89"/>
      <c r="I386" s="89"/>
      <c r="J386" s="89"/>
      <c r="K386" s="96" t="s">
        <v>113726</v>
      </c>
      <c r="L386" s="91" t="s">
        <v>113170</v>
      </c>
      <c r="M386" s="439" t="s">
        <v>113484</v>
      </c>
      <c r="N386" s="93">
        <v>45662</v>
      </c>
      <c r="O386" s="93" t="s">
        <v>113060</v>
      </c>
      <c r="P386" s="94" t="s">
        <v>113022</v>
      </c>
      <c r="Q386" s="94" t="s">
        <v>113715</v>
      </c>
      <c r="R386" s="477"/>
      <c r="S386" s="118">
        <v>6832400355</v>
      </c>
      <c r="T386" s="573">
        <v>6832400355</v>
      </c>
      <c r="U386" s="477"/>
      <c r="V386" s="118"/>
      <c r="W386" s="293"/>
      <c r="X386" s="294"/>
      <c r="Y386" s="344"/>
    </row>
    <row r="387" spans="2:25" ht="90" x14ac:dyDescent="0.2">
      <c r="B387" s="88"/>
      <c r="C387" s="89"/>
      <c r="D387" s="89"/>
      <c r="E387" s="89"/>
      <c r="F387" s="89"/>
      <c r="G387" s="89"/>
      <c r="H387" s="89"/>
      <c r="I387" s="89"/>
      <c r="J387" s="89"/>
      <c r="K387" s="96" t="s">
        <v>113726</v>
      </c>
      <c r="L387" s="91">
        <v>81101500</v>
      </c>
      <c r="M387" s="439" t="s">
        <v>113485</v>
      </c>
      <c r="N387" s="93">
        <v>45662</v>
      </c>
      <c r="O387" s="93" t="s">
        <v>113060</v>
      </c>
      <c r="P387" s="94" t="s">
        <v>113022</v>
      </c>
      <c r="Q387" s="94" t="s">
        <v>113716</v>
      </c>
      <c r="R387" s="477"/>
      <c r="S387" s="118">
        <v>566802046</v>
      </c>
      <c r="T387" s="573">
        <v>566802046</v>
      </c>
      <c r="U387" s="477"/>
      <c r="V387" s="118"/>
      <c r="W387" s="293"/>
      <c r="X387" s="294"/>
      <c r="Y387" s="344"/>
    </row>
    <row r="388" spans="2:25" ht="45" x14ac:dyDescent="0.2">
      <c r="B388" s="88"/>
      <c r="C388" s="89"/>
      <c r="D388" s="89"/>
      <c r="E388" s="89"/>
      <c r="F388" s="89"/>
      <c r="G388" s="89"/>
      <c r="H388" s="89"/>
      <c r="I388" s="89"/>
      <c r="J388" s="89"/>
      <c r="K388" s="96" t="s">
        <v>113726</v>
      </c>
      <c r="L388" s="91" t="s">
        <v>113170</v>
      </c>
      <c r="M388" s="439" t="s">
        <v>113486</v>
      </c>
      <c r="N388" s="93">
        <v>45813</v>
      </c>
      <c r="O388" s="93" t="s">
        <v>113208</v>
      </c>
      <c r="P388" s="94" t="s">
        <v>113725</v>
      </c>
      <c r="Q388" s="94" t="s">
        <v>113715</v>
      </c>
      <c r="R388" s="477"/>
      <c r="S388" s="118">
        <v>5645494000</v>
      </c>
      <c r="T388" s="573">
        <v>5645494000</v>
      </c>
      <c r="U388" s="477"/>
      <c r="V388" s="118"/>
      <c r="W388" s="293"/>
      <c r="X388" s="568">
        <v>11000000000</v>
      </c>
      <c r="Y388" s="344"/>
    </row>
    <row r="389" spans="2:25" ht="60" x14ac:dyDescent="0.2">
      <c r="B389" s="88"/>
      <c r="C389" s="89"/>
      <c r="D389" s="89"/>
      <c r="E389" s="89"/>
      <c r="F389" s="89"/>
      <c r="G389" s="89"/>
      <c r="H389" s="89"/>
      <c r="I389" s="89"/>
      <c r="J389" s="89"/>
      <c r="K389" s="96" t="s">
        <v>113726</v>
      </c>
      <c r="L389" s="91">
        <v>81101500</v>
      </c>
      <c r="M389" s="439" t="s">
        <v>113487</v>
      </c>
      <c r="N389" s="93">
        <v>45813</v>
      </c>
      <c r="O389" s="93" t="s">
        <v>113208</v>
      </c>
      <c r="P389" s="94" t="s">
        <v>113725</v>
      </c>
      <c r="Q389" s="94" t="s">
        <v>113716</v>
      </c>
      <c r="R389" s="477"/>
      <c r="S389" s="118">
        <v>720331546</v>
      </c>
      <c r="T389" s="573">
        <v>720331546</v>
      </c>
      <c r="U389" s="477"/>
      <c r="V389" s="118"/>
      <c r="W389" s="293"/>
      <c r="X389" s="568">
        <v>700000000</v>
      </c>
      <c r="Y389" s="344"/>
    </row>
    <row r="390" spans="2:25" ht="45" x14ac:dyDescent="0.2">
      <c r="B390" s="88"/>
      <c r="C390" s="89"/>
      <c r="D390" s="89"/>
      <c r="E390" s="89"/>
      <c r="F390" s="89"/>
      <c r="G390" s="89"/>
      <c r="H390" s="89"/>
      <c r="I390" s="89"/>
      <c r="J390" s="89"/>
      <c r="K390" s="96" t="s">
        <v>113726</v>
      </c>
      <c r="L390" s="91" t="s">
        <v>113170</v>
      </c>
      <c r="M390" s="439" t="s">
        <v>113488</v>
      </c>
      <c r="N390" s="93">
        <v>45721</v>
      </c>
      <c r="O390" s="93" t="s">
        <v>113006</v>
      </c>
      <c r="P390" s="94" t="s">
        <v>113002</v>
      </c>
      <c r="Q390" s="94" t="s">
        <v>113715</v>
      </c>
      <c r="R390" s="477"/>
      <c r="S390" s="587">
        <v>1200000000</v>
      </c>
      <c r="T390" s="573">
        <v>1200000000</v>
      </c>
      <c r="U390" s="477"/>
      <c r="V390" s="118"/>
      <c r="W390" s="144"/>
      <c r="X390" s="118"/>
      <c r="Y390" s="344"/>
    </row>
    <row r="391" spans="2:25" ht="75" x14ac:dyDescent="0.2">
      <c r="B391" s="88"/>
      <c r="C391" s="89"/>
      <c r="D391" s="89"/>
      <c r="E391" s="89"/>
      <c r="F391" s="89"/>
      <c r="G391" s="89"/>
      <c r="H391" s="89"/>
      <c r="I391" s="89"/>
      <c r="J391" s="89"/>
      <c r="K391" s="96" t="s">
        <v>113726</v>
      </c>
      <c r="L391" s="91">
        <v>81101500</v>
      </c>
      <c r="M391" s="439" t="s">
        <v>113489</v>
      </c>
      <c r="N391" s="93">
        <v>45721</v>
      </c>
      <c r="O391" s="93" t="s">
        <v>113006</v>
      </c>
      <c r="P391" s="94" t="s">
        <v>113002</v>
      </c>
      <c r="Q391" s="94" t="s">
        <v>113716</v>
      </c>
      <c r="R391" s="477"/>
      <c r="S391" s="587">
        <v>140000000</v>
      </c>
      <c r="T391" s="573">
        <v>140000000</v>
      </c>
      <c r="U391" s="477"/>
      <c r="V391" s="118"/>
      <c r="W391" s="144"/>
      <c r="X391" s="118"/>
      <c r="Y391" s="344"/>
    </row>
    <row r="392" spans="2:25" ht="45" x14ac:dyDescent="0.2">
      <c r="B392" s="88"/>
      <c r="C392" s="89"/>
      <c r="D392" s="89"/>
      <c r="E392" s="89"/>
      <c r="F392" s="89"/>
      <c r="G392" s="89"/>
      <c r="H392" s="89"/>
      <c r="I392" s="89"/>
      <c r="J392" s="89"/>
      <c r="K392" s="96" t="s">
        <v>113726</v>
      </c>
      <c r="L392" s="91" t="s">
        <v>113170</v>
      </c>
      <c r="M392" s="439" t="s">
        <v>113490</v>
      </c>
      <c r="N392" s="93">
        <v>45813</v>
      </c>
      <c r="O392" s="93" t="s">
        <v>113208</v>
      </c>
      <c r="P392" s="94" t="s">
        <v>113068</v>
      </c>
      <c r="Q392" s="94" t="s">
        <v>113715</v>
      </c>
      <c r="R392" s="477"/>
      <c r="S392" s="118">
        <v>1871000000</v>
      </c>
      <c r="T392" s="573">
        <v>1871000000</v>
      </c>
      <c r="U392" s="477"/>
      <c r="V392" s="118"/>
      <c r="W392" s="144"/>
      <c r="X392" s="568">
        <v>6000000000</v>
      </c>
      <c r="Y392" s="344"/>
    </row>
    <row r="393" spans="2:25" ht="60" x14ac:dyDescent="0.2">
      <c r="B393" s="88"/>
      <c r="C393" s="89"/>
      <c r="D393" s="89"/>
      <c r="E393" s="89"/>
      <c r="F393" s="89"/>
      <c r="G393" s="89"/>
      <c r="H393" s="89"/>
      <c r="I393" s="89"/>
      <c r="J393" s="89"/>
      <c r="K393" s="96" t="s">
        <v>113726</v>
      </c>
      <c r="L393" s="91">
        <v>81101500</v>
      </c>
      <c r="M393" s="439" t="s">
        <v>113491</v>
      </c>
      <c r="N393" s="93">
        <v>45813</v>
      </c>
      <c r="O393" s="93" t="s">
        <v>113208</v>
      </c>
      <c r="P393" s="94" t="s">
        <v>113068</v>
      </c>
      <c r="Q393" s="94" t="s">
        <v>113716</v>
      </c>
      <c r="R393" s="477"/>
      <c r="S393" s="118">
        <f>380000000+14174454</f>
        <v>394174454</v>
      </c>
      <c r="T393" s="573">
        <v>394174454</v>
      </c>
      <c r="U393" s="477"/>
      <c r="V393" s="118"/>
      <c r="W393" s="144"/>
      <c r="X393" s="568">
        <v>820000000</v>
      </c>
      <c r="Y393" s="344"/>
    </row>
    <row r="394" spans="2:25" x14ac:dyDescent="0.2">
      <c r="B394" s="88"/>
      <c r="C394" s="89"/>
      <c r="D394" s="89"/>
      <c r="E394" s="89"/>
      <c r="F394" s="89"/>
      <c r="G394" s="89"/>
      <c r="H394" s="89"/>
      <c r="I394" s="89"/>
      <c r="J394" s="89"/>
      <c r="K394" s="96" t="s">
        <v>113726</v>
      </c>
      <c r="L394" s="91">
        <v>81101500</v>
      </c>
      <c r="M394" s="439" t="s">
        <v>113492</v>
      </c>
      <c r="N394" s="118"/>
      <c r="O394" s="118"/>
      <c r="P394" s="118"/>
      <c r="Q394" s="118"/>
      <c r="R394" s="477"/>
      <c r="S394" s="118">
        <v>94000000</v>
      </c>
      <c r="T394" s="573">
        <v>94000000</v>
      </c>
      <c r="U394" s="477"/>
      <c r="V394" s="118"/>
      <c r="W394" s="144"/>
      <c r="X394" s="144"/>
      <c r="Y394" s="344"/>
    </row>
    <row r="395" spans="2:25" x14ac:dyDescent="0.2">
      <c r="B395" s="88"/>
      <c r="C395" s="89"/>
      <c r="D395" s="89"/>
      <c r="E395" s="89"/>
      <c r="F395" s="89"/>
      <c r="G395" s="89"/>
      <c r="H395" s="89"/>
      <c r="I395" s="89"/>
      <c r="J395" s="89"/>
      <c r="K395" s="96" t="s">
        <v>113726</v>
      </c>
      <c r="L395" s="91">
        <v>81101500</v>
      </c>
      <c r="M395" s="439" t="s">
        <v>113493</v>
      </c>
      <c r="N395" s="118"/>
      <c r="O395" s="118"/>
      <c r="P395" s="118"/>
      <c r="Q395" s="118"/>
      <c r="R395" s="477"/>
      <c r="S395" s="118">
        <v>109000000</v>
      </c>
      <c r="T395" s="573">
        <v>109000000</v>
      </c>
      <c r="U395" s="477"/>
      <c r="V395" s="118"/>
      <c r="W395" s="144"/>
      <c r="X395" s="144"/>
      <c r="Y395" s="344"/>
    </row>
    <row r="396" spans="2:25" ht="45" x14ac:dyDescent="0.2">
      <c r="B396" s="88"/>
      <c r="C396" s="89"/>
      <c r="D396" s="89"/>
      <c r="E396" s="89"/>
      <c r="F396" s="89"/>
      <c r="G396" s="89"/>
      <c r="H396" s="89"/>
      <c r="I396" s="89"/>
      <c r="J396" s="89"/>
      <c r="K396" s="96" t="s">
        <v>113726</v>
      </c>
      <c r="L396" s="91"/>
      <c r="M396" s="439" t="s">
        <v>113494</v>
      </c>
      <c r="N396" s="118"/>
      <c r="O396" s="118"/>
      <c r="P396" s="118"/>
      <c r="Q396" s="118"/>
      <c r="R396" s="477"/>
      <c r="S396" s="118">
        <v>65000000</v>
      </c>
      <c r="T396" s="573">
        <v>65000000</v>
      </c>
      <c r="U396" s="477"/>
      <c r="V396" s="118"/>
      <c r="W396" s="144"/>
      <c r="X396" s="144"/>
      <c r="Y396" s="344"/>
    </row>
    <row r="397" spans="2:25" ht="45" x14ac:dyDescent="0.2">
      <c r="B397" s="88"/>
      <c r="C397" s="89"/>
      <c r="D397" s="89"/>
      <c r="E397" s="89"/>
      <c r="F397" s="89"/>
      <c r="G397" s="89"/>
      <c r="H397" s="89"/>
      <c r="I397" s="89"/>
      <c r="J397" s="89"/>
      <c r="K397" s="96" t="s">
        <v>113726</v>
      </c>
      <c r="L397" s="91"/>
      <c r="M397" s="439" t="s">
        <v>113495</v>
      </c>
      <c r="N397" s="118"/>
      <c r="O397" s="118"/>
      <c r="P397" s="118"/>
      <c r="Q397" s="118"/>
      <c r="R397" s="477"/>
      <c r="S397" s="118">
        <v>25000000</v>
      </c>
      <c r="T397" s="573">
        <v>25000000</v>
      </c>
      <c r="U397" s="477"/>
      <c r="V397" s="118"/>
      <c r="W397" s="144"/>
      <c r="X397" s="144"/>
      <c r="Y397" s="344"/>
    </row>
    <row r="398" spans="2:25" ht="30" x14ac:dyDescent="0.2">
      <c r="B398" s="88"/>
      <c r="C398" s="89"/>
      <c r="D398" s="89"/>
      <c r="E398" s="89"/>
      <c r="F398" s="89"/>
      <c r="G398" s="89"/>
      <c r="H398" s="89"/>
      <c r="I398" s="89"/>
      <c r="J398" s="89"/>
      <c r="K398" s="96" t="s">
        <v>113726</v>
      </c>
      <c r="L398" s="91">
        <v>90121600</v>
      </c>
      <c r="M398" s="439" t="s">
        <v>113481</v>
      </c>
      <c r="N398" s="93">
        <v>45662</v>
      </c>
      <c r="O398" s="93" t="s">
        <v>113060</v>
      </c>
      <c r="P398" s="94" t="s">
        <v>113022</v>
      </c>
      <c r="Q398" s="94" t="s">
        <v>113008</v>
      </c>
      <c r="R398" s="477"/>
      <c r="S398" s="118">
        <v>20000000</v>
      </c>
      <c r="T398" s="573">
        <v>20000000</v>
      </c>
      <c r="U398" s="477"/>
      <c r="V398" s="118"/>
      <c r="W398" s="144"/>
      <c r="X398" s="144"/>
      <c r="Y398" s="344"/>
    </row>
    <row r="399" spans="2:25" x14ac:dyDescent="0.2">
      <c r="B399" s="88"/>
      <c r="C399" s="89"/>
      <c r="D399" s="89"/>
      <c r="E399" s="89"/>
      <c r="F399" s="89"/>
      <c r="G399" s="89"/>
      <c r="H399" s="89"/>
      <c r="I399" s="89"/>
      <c r="J399" s="89"/>
      <c r="K399" s="96" t="s">
        <v>113726</v>
      </c>
      <c r="L399" s="91">
        <v>90111500</v>
      </c>
      <c r="M399" s="439" t="s">
        <v>113482</v>
      </c>
      <c r="N399" s="118"/>
      <c r="O399" s="118"/>
      <c r="P399" s="118"/>
      <c r="Q399" s="118"/>
      <c r="R399" s="477"/>
      <c r="S399" s="118">
        <v>31797599</v>
      </c>
      <c r="T399" s="573">
        <v>31797599</v>
      </c>
      <c r="U399" s="477"/>
      <c r="V399" s="118"/>
      <c r="W399" s="144"/>
      <c r="X399" s="144"/>
      <c r="Y399" s="344"/>
    </row>
    <row r="400" spans="2:25" ht="30" x14ac:dyDescent="0.2">
      <c r="B400" s="88"/>
      <c r="C400" s="89"/>
      <c r="D400" s="89"/>
      <c r="E400" s="89"/>
      <c r="F400" s="89"/>
      <c r="G400" s="89"/>
      <c r="H400" s="89"/>
      <c r="I400" s="89"/>
      <c r="J400" s="89"/>
      <c r="K400" s="96" t="s">
        <v>113726</v>
      </c>
      <c r="L400" s="91">
        <v>81101500</v>
      </c>
      <c r="M400" s="438" t="s">
        <v>113496</v>
      </c>
      <c r="N400" s="93">
        <v>45782</v>
      </c>
      <c r="O400" s="93" t="s">
        <v>113087</v>
      </c>
      <c r="P400" s="94" t="s">
        <v>113022</v>
      </c>
      <c r="Q400" s="94" t="s">
        <v>113716</v>
      </c>
      <c r="R400" s="477"/>
      <c r="S400" s="118">
        <v>50000000</v>
      </c>
      <c r="T400" s="573">
        <v>50000000</v>
      </c>
      <c r="U400" s="477"/>
      <c r="V400" s="118"/>
      <c r="W400" s="144"/>
      <c r="X400" s="144"/>
      <c r="Y400" s="344"/>
    </row>
  </sheetData>
  <sheetProtection formatCells="0" formatColumns="0" formatRows="0" insertColumns="0" insertRows="0" insertHyperlinks="0" deleteColumns="0" deleteRows="0" sort="0" autoFilter="0" pivotTables="0"/>
  <autoFilter ref="B7:Z400" xr:uid="{00000000-0009-0000-0000-000001000000}"/>
  <conditionalFormatting sqref="N41">
    <cfRule type="timePeriod" dxfId="14" priority="10" timePeriod="lastMonth">
      <formula>AND(MONTH(N41)=MONTH(EDATE(TODAY(),0-1)),YEAR(N41)=YEAR(EDATE(TODAY(),0-1)))</formula>
    </cfRule>
  </conditionalFormatting>
  <conditionalFormatting sqref="N14:R14">
    <cfRule type="timePeriod" dxfId="13" priority="6" timePeriod="lastMonth">
      <formula>AND(MONTH(N14)=MONTH(EDATE(TODAY(),0-1)),YEAR(N14)=YEAR(EDATE(TODAY(),0-1)))</formula>
    </cfRule>
  </conditionalFormatting>
  <conditionalFormatting sqref="N94 N80">
    <cfRule type="timePeriod" dxfId="12" priority="2" timePeriod="lastMonth">
      <formula>AND(MONTH(N80)=MONTH(EDATE(TODAY(),0-1)),YEAR(N80)=YEAR(EDATE(TODAY(),0-1)))</formula>
    </cfRule>
  </conditionalFormatting>
  <conditionalFormatting sqref="N66 N44">
    <cfRule type="timePeriod" dxfId="11" priority="3" timePeriod="lastMonth">
      <formula>AND(MONTH(N44)=MONTH(EDATE(TODAY(),0-1)),YEAR(N44)=YEAR(EDATE(TODAY(),0-1)))</formula>
    </cfRule>
  </conditionalFormatting>
  <conditionalFormatting sqref="N132">
    <cfRule type="timePeriod" dxfId="10" priority="1" timePeriod="lastMonth">
      <formula>AND(MONTH(N132)=MONTH(EDATE(TODAY(),0-1)),YEAR(N132)=YEAR(EDATE(TODAY(),0-1)))</formula>
    </cfRule>
  </conditionalFormatting>
  <dataValidations count="2">
    <dataValidation type="list" allowBlank="1" showInputMessage="1" showErrorMessage="1" sqref="Y54 Y56 Y64 Y101:Y102 Y115 Y195" xr:uid="{00000000-0002-0000-0100-000000000000}">
      <formula1>#REF!</formula1>
    </dataValidation>
    <dataValidation type="list" allowBlank="1" showInputMessage="1" showErrorMessage="1" sqref="Y243:Y244 Y14:Y16 Y116:Y118 Y103:Y107 Y32:Y34 Y36 Y38 Y325:Y400 Y42 Y45:Y47 Y164 Y81:Y82 Y218 Y188:Y190 Y65 Y67 Y84:Y86 Y60 Y211:Y212 Y249:Y252 Y57:Y58 Y73:Y76 Y78:Y79 Y89:Y93 Y208:Y209 Y215:Y216 Y230:Y231 Y179:Y180 Y288:Y291 Y284:Y286 Y95 Y311:Y314 Y192 Y196 Y220:Y225 Y227:Y228 Y240:Y241 Y247 Y123:Y125 Y70:Y71 Y266 Y272:Y274 Y276:Y279 Y281:Y282 Y304 Y50:Y53 Y55 Y62:Y63 Y20:Y30 Y109:Y114 Y166 Y185:Y186 Y203:Y205 Y97:Y100 Y132:Y133 Y317:Y322 Y300:Y301 Y260 Y176:Y177 Y182:Y183 Y234:Y235 Y238" xr:uid="{00000000-0002-0000-0100-000001000000}">
      <formula1>#REF!</formula1>
    </dataValidation>
  </dataValidations>
  <pageMargins left="0.7" right="0.7" top="0.75" bottom="0.75" header="0.3" footer="0.3"/>
  <pageSetup scale="24"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2000000}">
          <x14:formula1>
            <xm:f>'\\172.23.131.133\Planeacion\4.Plan de adquisiciones\Plan de Adquisiciones 2025 - ICFE\Anteproyecto 2025\[Plan Anual Adquisiciones 2025.xlsx]Hoja1'!#REF!</xm:f>
          </x14:formula1>
          <xm:sqref>Y119:Y122 Y154:Y159 Y126:Y130</xm:sqref>
        </x14:dataValidation>
        <x14:dataValidation type="list" allowBlank="1" showInputMessage="1" showErrorMessage="1" xr:uid="{00000000-0002-0000-0100-000003000000}">
          <x14:formula1>
            <xm:f>'\\172.23.131.133\Planeacion\4.Plan de adquisiciones\Plan de Adquisiciones 2024 - ICFE\[Plan Anual Adquisiciones 2024_Seguimiento.xlsx]Hoja1'!#REF!</xm:f>
          </x14:formula1>
          <xm:sqref>Y83 Y87:Y88 Y191 V96 X96:Y96 Y201:Y202 Y17:Y19 Y162:Y163 Y134:Y152 Y297 Y181 Y264 Y167:Y175</xm:sqref>
        </x14:dataValidation>
        <x14:dataValidation type="list" allowBlank="1" showInputMessage="1" showErrorMessage="1" xr:uid="{00000000-0002-0000-0100-000004000000}">
          <x14:formula1>
            <xm:f>'\\172.23.131.133\Planeacion\4.Plan de adquisiciones\Plan de Adquisiciones 2024 - ICFE\[35_Plan Anual Adquisiciones 2024_35.xlsx]Hoja1'!#REF!</xm:f>
          </x14:formula1>
          <xm:sqref>Y213 Y108 Y160:Y161 Y94 V287 Y287 Y40:Y41 Y44 Y66 Y72 Y77 Y80 Y210 Y232 Y239 Y236:Y237 V147:V152 Y315 V160:V161 V201:V202 Y69 V163 Y292:Y296 Y178 Y245:Y246 V167:V175</xm:sqref>
        </x14:dataValidation>
        <x14:dataValidation type="list" allowBlank="1" showInputMessage="1" showErrorMessage="1" xr:uid="{00000000-0002-0000-0100-000005000000}">
          <x14:formula1>
            <xm:f>'\\172.23.131.133\Planeacion\4.Plan de adquisiciones\Plan de Adquisiciones 2024 - ICFE\[38_Plan Anual Adquisiciones 2024_38.xlsx]Hoja1'!#REF!</xm:f>
          </x14:formula1>
          <xm:sqref>V320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5"/>
  <sheetViews>
    <sheetView zoomScale="160" zoomScaleNormal="160" workbookViewId="0">
      <selection activeCell="G2" sqref="G2:I2"/>
    </sheetView>
  </sheetViews>
  <sheetFormatPr baseColWidth="10" defaultRowHeight="15" x14ac:dyDescent="0.25"/>
  <cols>
    <col min="1" max="1" width="2.140625" customWidth="1"/>
    <col min="2" max="2" width="26.85546875" customWidth="1"/>
    <col min="3" max="3" width="13.42578125" style="499" bestFit="1" customWidth="1"/>
    <col min="4" max="4" width="11.5703125" bestFit="1" customWidth="1"/>
    <col min="5" max="6" width="11.5703125" hidden="1" customWidth="1"/>
    <col min="8" max="8" width="17" hidden="1" customWidth="1"/>
    <col min="9" max="9" width="12" customWidth="1"/>
    <col min="10" max="10" width="0" hidden="1" customWidth="1"/>
    <col min="12" max="14" width="11.7109375" hidden="1" customWidth="1"/>
  </cols>
  <sheetData>
    <row r="1" spans="1:14" x14ac:dyDescent="0.25">
      <c r="E1" s="500" t="s">
        <v>113548</v>
      </c>
      <c r="F1" s="500"/>
      <c r="G1" t="s">
        <v>113549</v>
      </c>
    </row>
    <row r="2" spans="1:14" x14ac:dyDescent="0.25">
      <c r="B2" s="501"/>
      <c r="C2" s="502">
        <v>2022</v>
      </c>
      <c r="D2" s="502">
        <v>2023</v>
      </c>
      <c r="E2" s="503" t="s">
        <v>113550</v>
      </c>
      <c r="F2" s="503" t="s">
        <v>113550</v>
      </c>
      <c r="G2" s="504">
        <v>2024</v>
      </c>
      <c r="H2" s="514">
        <v>2025</v>
      </c>
      <c r="I2" s="591">
        <v>2025</v>
      </c>
      <c r="J2" s="514">
        <v>2025</v>
      </c>
    </row>
    <row r="3" spans="1:14" x14ac:dyDescent="0.25">
      <c r="B3" s="505" t="s">
        <v>113551</v>
      </c>
      <c r="C3" s="506">
        <v>5900000</v>
      </c>
      <c r="D3" s="507">
        <v>6684700</v>
      </c>
      <c r="E3" s="507">
        <f t="shared" ref="E3:E11" si="0">+D3*10%</f>
        <v>668470</v>
      </c>
      <c r="F3" s="508">
        <f t="shared" ref="F3:F11" si="1">+D3+E3</f>
        <v>7353170</v>
      </c>
      <c r="G3" s="509">
        <v>7300000</v>
      </c>
      <c r="H3" s="512">
        <f>(+G3*0.06)+G3</f>
        <v>7738000</v>
      </c>
      <c r="I3" s="590">
        <v>7700000</v>
      </c>
      <c r="J3" s="512">
        <f>(+G3*0.05)+G3</f>
        <v>7665000</v>
      </c>
      <c r="L3" s="583">
        <f t="shared" ref="L3:L5" si="2">I3*11</f>
        <v>84700000</v>
      </c>
    </row>
    <row r="4" spans="1:14" x14ac:dyDescent="0.25">
      <c r="B4" s="505" t="s">
        <v>113552</v>
      </c>
      <c r="C4" s="506">
        <v>4600000</v>
      </c>
      <c r="D4" s="507">
        <v>5211800</v>
      </c>
      <c r="E4" s="507">
        <f t="shared" si="0"/>
        <v>521180</v>
      </c>
      <c r="F4" s="508">
        <f t="shared" si="1"/>
        <v>5732980</v>
      </c>
      <c r="G4" s="509">
        <v>5700000</v>
      </c>
      <c r="H4" s="512">
        <f t="shared" ref="H4:H11" si="3">(+G4*0.06)+G4</f>
        <v>6042000</v>
      </c>
      <c r="I4" s="590">
        <v>6000000</v>
      </c>
      <c r="J4" s="512">
        <f t="shared" ref="J4:J11" si="4">(+G4*0.05)+G4</f>
        <v>5985000</v>
      </c>
      <c r="L4" s="583">
        <f t="shared" si="2"/>
        <v>66000000</v>
      </c>
    </row>
    <row r="5" spans="1:14" x14ac:dyDescent="0.25">
      <c r="A5" t="s">
        <v>113553</v>
      </c>
      <c r="B5" s="505" t="s">
        <v>113554</v>
      </c>
      <c r="C5" s="506">
        <v>3300000</v>
      </c>
      <c r="D5" s="507">
        <v>3738900</v>
      </c>
      <c r="E5" s="507">
        <f t="shared" si="0"/>
        <v>373890</v>
      </c>
      <c r="F5" s="508">
        <f t="shared" si="1"/>
        <v>4112790</v>
      </c>
      <c r="G5" s="509">
        <v>4100000</v>
      </c>
      <c r="H5" s="512">
        <f t="shared" si="3"/>
        <v>4346000</v>
      </c>
      <c r="I5" s="590">
        <v>4300000</v>
      </c>
      <c r="J5" s="512">
        <f t="shared" si="4"/>
        <v>4305000</v>
      </c>
      <c r="L5" s="583">
        <f t="shared" si="2"/>
        <v>47300000</v>
      </c>
    </row>
    <row r="6" spans="1:14" x14ac:dyDescent="0.25">
      <c r="B6" s="505" t="s">
        <v>113555</v>
      </c>
      <c r="C6" s="506">
        <v>2600000</v>
      </c>
      <c r="D6" s="507">
        <v>2945800</v>
      </c>
      <c r="E6" s="507">
        <f t="shared" si="0"/>
        <v>294580</v>
      </c>
      <c r="F6" s="508">
        <f t="shared" si="1"/>
        <v>3240380</v>
      </c>
      <c r="G6" s="509">
        <v>3200000</v>
      </c>
      <c r="H6" s="512">
        <f t="shared" si="3"/>
        <v>3392000</v>
      </c>
      <c r="I6" s="590">
        <v>3400000</v>
      </c>
      <c r="J6" s="512">
        <f t="shared" si="4"/>
        <v>3360000</v>
      </c>
      <c r="L6" s="583">
        <f>I6*11</f>
        <v>37400000</v>
      </c>
    </row>
    <row r="7" spans="1:14" x14ac:dyDescent="0.25">
      <c r="B7" s="505" t="s">
        <v>113556</v>
      </c>
      <c r="C7" s="506">
        <v>2100000</v>
      </c>
      <c r="D7" s="507">
        <v>2379300</v>
      </c>
      <c r="E7" s="507">
        <f t="shared" si="0"/>
        <v>237930</v>
      </c>
      <c r="F7" s="508">
        <f t="shared" si="1"/>
        <v>2617230</v>
      </c>
      <c r="G7" s="509">
        <v>2600000</v>
      </c>
      <c r="H7" s="512">
        <f t="shared" si="3"/>
        <v>2756000</v>
      </c>
      <c r="I7" s="590">
        <v>2700000</v>
      </c>
      <c r="J7" s="512">
        <f t="shared" si="4"/>
        <v>2730000</v>
      </c>
      <c r="L7" s="583">
        <f t="shared" ref="L7:L11" si="5">I7*11</f>
        <v>29700000</v>
      </c>
      <c r="M7" s="583">
        <f>2700000*6</f>
        <v>16200000</v>
      </c>
      <c r="N7" s="583">
        <f>2700000*5</f>
        <v>13500000</v>
      </c>
    </row>
    <row r="8" spans="1:14" x14ac:dyDescent="0.25">
      <c r="B8" s="505" t="s">
        <v>113557</v>
      </c>
      <c r="C8" s="506">
        <v>1400000</v>
      </c>
      <c r="D8" s="507">
        <v>1586200</v>
      </c>
      <c r="E8" s="507">
        <f t="shared" si="0"/>
        <v>158620</v>
      </c>
      <c r="F8" s="508">
        <f t="shared" si="1"/>
        <v>1744820</v>
      </c>
      <c r="G8" s="509">
        <v>1700000</v>
      </c>
      <c r="H8" s="512">
        <f t="shared" si="3"/>
        <v>1802000</v>
      </c>
      <c r="I8" s="590">
        <v>1800000</v>
      </c>
      <c r="J8" s="512">
        <f t="shared" si="4"/>
        <v>1785000</v>
      </c>
      <c r="L8" s="583">
        <f t="shared" si="5"/>
        <v>19800000</v>
      </c>
      <c r="M8" s="583">
        <f>1800000*6</f>
        <v>10800000</v>
      </c>
      <c r="N8" s="583">
        <f>1800000*5</f>
        <v>9000000</v>
      </c>
    </row>
    <row r="9" spans="1:14" x14ac:dyDescent="0.25">
      <c r="B9" s="505" t="s">
        <v>113558</v>
      </c>
      <c r="C9" s="510">
        <v>2400000</v>
      </c>
      <c r="D9" s="507">
        <v>2500000</v>
      </c>
      <c r="E9" s="507">
        <f t="shared" si="0"/>
        <v>250000</v>
      </c>
      <c r="F9" s="509">
        <f t="shared" si="1"/>
        <v>2750000</v>
      </c>
      <c r="G9" s="509">
        <v>2700000</v>
      </c>
      <c r="H9" s="512">
        <f t="shared" si="3"/>
        <v>2862000</v>
      </c>
      <c r="I9" s="590">
        <v>2800000</v>
      </c>
      <c r="J9" s="512">
        <f t="shared" si="4"/>
        <v>2835000</v>
      </c>
      <c r="L9" s="583">
        <f t="shared" si="5"/>
        <v>30800000</v>
      </c>
    </row>
    <row r="10" spans="1:14" x14ac:dyDescent="0.25">
      <c r="B10" s="505" t="s">
        <v>113559</v>
      </c>
      <c r="C10" s="510">
        <v>2400000</v>
      </c>
      <c r="D10" s="507">
        <v>2400000</v>
      </c>
      <c r="E10" s="507">
        <f t="shared" si="0"/>
        <v>240000</v>
      </c>
      <c r="F10" s="509">
        <f t="shared" si="1"/>
        <v>2640000</v>
      </c>
      <c r="G10" s="509">
        <v>2600000</v>
      </c>
      <c r="H10" s="512">
        <f t="shared" si="3"/>
        <v>2756000</v>
      </c>
      <c r="I10" s="590">
        <v>2700000</v>
      </c>
      <c r="J10" s="512">
        <f t="shared" si="4"/>
        <v>2730000</v>
      </c>
      <c r="L10" s="583">
        <f t="shared" si="5"/>
        <v>29700000</v>
      </c>
    </row>
    <row r="11" spans="1:14" x14ac:dyDescent="0.25">
      <c r="B11" s="505" t="s">
        <v>113560</v>
      </c>
      <c r="C11" s="510">
        <v>1800000</v>
      </c>
      <c r="D11" s="507">
        <v>2000000</v>
      </c>
      <c r="E11" s="507">
        <f t="shared" si="0"/>
        <v>200000</v>
      </c>
      <c r="F11" s="509">
        <f t="shared" si="1"/>
        <v>2200000</v>
      </c>
      <c r="G11" s="509">
        <v>2200000</v>
      </c>
      <c r="H11" s="512">
        <f t="shared" si="3"/>
        <v>2332000</v>
      </c>
      <c r="I11" s="590">
        <v>2300000</v>
      </c>
      <c r="J11" s="512">
        <f t="shared" si="4"/>
        <v>2310000</v>
      </c>
      <c r="L11" s="583">
        <f t="shared" si="5"/>
        <v>25300000</v>
      </c>
    </row>
    <row r="12" spans="1:14" x14ac:dyDescent="0.25">
      <c r="B12" s="511" t="s">
        <v>113561</v>
      </c>
    </row>
    <row r="14" spans="1:14" x14ac:dyDescent="0.25">
      <c r="G14" s="512" t="s">
        <v>112995</v>
      </c>
      <c r="I14" s="580" t="s">
        <v>112995</v>
      </c>
    </row>
    <row r="15" spans="1:14" x14ac:dyDescent="0.25">
      <c r="G15" s="513" t="s">
        <v>112995</v>
      </c>
    </row>
  </sheetData>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B1:AA412"/>
  <sheetViews>
    <sheetView showGridLines="0" topLeftCell="E1" zoomScale="70" zoomScaleNormal="70" workbookViewId="0">
      <pane ySplit="6" topLeftCell="A7" activePane="bottomLeft" state="frozen"/>
      <selection pane="bottomLeft" activeCell="M32" sqref="M32"/>
    </sheetView>
  </sheetViews>
  <sheetFormatPr baseColWidth="10" defaultColWidth="11.5703125" defaultRowHeight="15" x14ac:dyDescent="0.2"/>
  <cols>
    <col min="1" max="1" width="4.28515625" style="22" customWidth="1"/>
    <col min="2" max="2" width="13.140625" style="20" customWidth="1"/>
    <col min="3" max="3" width="12.5703125" style="20" customWidth="1"/>
    <col min="4" max="4" width="13.140625" style="20" customWidth="1"/>
    <col min="5" max="5" width="11" style="20" customWidth="1"/>
    <col min="6" max="6" width="11.7109375" style="20" customWidth="1"/>
    <col min="7" max="7" width="12.42578125" style="20" customWidth="1"/>
    <col min="8" max="8" width="9" style="20" customWidth="1"/>
    <col min="9" max="9" width="10.7109375" style="20" customWidth="1"/>
    <col min="10" max="10" width="9.7109375" style="20" customWidth="1"/>
    <col min="11" max="11" width="25.7109375" style="20" customWidth="1"/>
    <col min="12" max="12" width="16" style="20" customWidth="1"/>
    <col min="13" max="13" width="84.140625" style="24" bestFit="1" customWidth="1"/>
    <col min="14" max="14" width="19.5703125" style="301" bestFit="1" customWidth="1"/>
    <col min="15" max="15" width="22.5703125" style="16" bestFit="1" customWidth="1"/>
    <col min="16" max="16" width="22.140625" style="17" bestFit="1" customWidth="1"/>
    <col min="17" max="17" width="28.5703125" style="18" bestFit="1" customWidth="1"/>
    <col min="18" max="18" width="26.140625" style="461" customWidth="1"/>
    <col min="19" max="19" width="29.42578125" style="464" bestFit="1" customWidth="1"/>
    <col min="20" max="20" width="31.85546875" style="19" customWidth="1"/>
    <col min="21" max="21" width="22.28515625" style="20" customWidth="1"/>
    <col min="22" max="22" width="23.140625" style="14" customWidth="1"/>
    <col min="23" max="23" width="29.42578125" style="20" customWidth="1"/>
    <col min="24" max="16384" width="11.5703125" style="22"/>
  </cols>
  <sheetData>
    <row r="1" spans="2:23" x14ac:dyDescent="0.2">
      <c r="B1" s="14"/>
      <c r="C1" s="14"/>
      <c r="D1" s="14"/>
      <c r="E1" s="14"/>
      <c r="F1" s="14"/>
      <c r="G1" s="14"/>
      <c r="H1" s="14"/>
      <c r="I1" s="14"/>
      <c r="J1" s="14"/>
      <c r="K1" s="14"/>
      <c r="L1" s="460"/>
      <c r="M1" s="14"/>
      <c r="N1" s="15"/>
    </row>
    <row r="2" spans="2:23" ht="15.75" x14ac:dyDescent="0.25">
      <c r="B2" s="23" t="s">
        <v>113414</v>
      </c>
      <c r="C2" s="14"/>
      <c r="D2" s="14"/>
      <c r="E2" s="14"/>
      <c r="F2" s="14"/>
      <c r="G2" s="14"/>
      <c r="H2" s="14"/>
      <c r="I2" s="14"/>
      <c r="J2" s="14"/>
      <c r="K2" s="14"/>
      <c r="L2" s="460"/>
      <c r="M2" s="14"/>
      <c r="N2" s="15"/>
    </row>
    <row r="3" spans="2:23" ht="15.75" x14ac:dyDescent="0.25">
      <c r="B3" s="23"/>
      <c r="C3" s="14"/>
      <c r="D3" s="14"/>
      <c r="E3" s="14"/>
      <c r="F3" s="14"/>
      <c r="G3" s="14"/>
      <c r="H3" s="14"/>
      <c r="I3" s="14"/>
      <c r="J3" s="14"/>
      <c r="K3" s="14"/>
      <c r="L3" s="460"/>
      <c r="M3" s="14"/>
      <c r="N3" s="15"/>
    </row>
    <row r="4" spans="2:23" ht="15.75" x14ac:dyDescent="0.25">
      <c r="B4" s="23" t="s">
        <v>112984</v>
      </c>
      <c r="C4" s="14"/>
      <c r="D4" s="14"/>
      <c r="E4" s="14"/>
      <c r="F4" s="14"/>
      <c r="G4" s="14"/>
      <c r="H4" s="14"/>
      <c r="I4" s="14"/>
      <c r="J4" s="14"/>
      <c r="K4" s="14"/>
      <c r="L4" s="460"/>
      <c r="N4" s="15"/>
    </row>
    <row r="5" spans="2:23" ht="18" x14ac:dyDescent="0.2">
      <c r="B5" s="14"/>
      <c r="C5" s="14"/>
      <c r="D5" s="14"/>
      <c r="E5" s="14"/>
      <c r="F5" s="14"/>
      <c r="G5" s="14"/>
      <c r="H5" s="14"/>
      <c r="I5" s="14"/>
      <c r="J5" s="14"/>
      <c r="K5" s="14"/>
      <c r="L5" s="460"/>
      <c r="M5" s="14"/>
      <c r="N5" s="15"/>
      <c r="W5" s="394"/>
    </row>
    <row r="6" spans="2:23" ht="45" x14ac:dyDescent="0.2">
      <c r="B6" s="25" t="s">
        <v>105498</v>
      </c>
      <c r="C6" s="25" t="s">
        <v>105499</v>
      </c>
      <c r="D6" s="25" t="s">
        <v>105500</v>
      </c>
      <c r="E6" s="25" t="s">
        <v>105501</v>
      </c>
      <c r="F6" s="25" t="s">
        <v>105502</v>
      </c>
      <c r="G6" s="25" t="s">
        <v>105503</v>
      </c>
      <c r="H6" s="25" t="s">
        <v>105504</v>
      </c>
      <c r="I6" s="25" t="s">
        <v>105505</v>
      </c>
      <c r="J6" s="25" t="s">
        <v>112985</v>
      </c>
      <c r="K6" s="26" t="s">
        <v>112986</v>
      </c>
      <c r="L6" s="27" t="s">
        <v>112987</v>
      </c>
      <c r="M6" s="28" t="s">
        <v>112988</v>
      </c>
      <c r="N6" s="28" t="s">
        <v>112989</v>
      </c>
      <c r="O6" s="29" t="s">
        <v>112990</v>
      </c>
      <c r="P6" s="28" t="s">
        <v>112991</v>
      </c>
      <c r="Q6" s="28" t="s">
        <v>112992</v>
      </c>
      <c r="R6" s="462" t="s">
        <v>113413</v>
      </c>
      <c r="S6" s="465" t="s">
        <v>113216</v>
      </c>
      <c r="T6" s="30" t="s">
        <v>113415</v>
      </c>
      <c r="U6" s="31" t="s">
        <v>113235</v>
      </c>
      <c r="V6" s="31" t="s">
        <v>113236</v>
      </c>
      <c r="W6" s="32" t="s">
        <v>112993</v>
      </c>
    </row>
    <row r="7" spans="2:23" ht="15.75" x14ac:dyDescent="0.2">
      <c r="B7" s="33" t="s">
        <v>105516</v>
      </c>
      <c r="C7" s="33" t="s">
        <v>105573</v>
      </c>
      <c r="D7" s="33"/>
      <c r="E7" s="33"/>
      <c r="F7" s="33"/>
      <c r="G7" s="33"/>
      <c r="H7" s="33"/>
      <c r="I7" s="33"/>
      <c r="J7" s="411"/>
      <c r="K7" s="289"/>
      <c r="L7" s="35"/>
      <c r="M7" s="36" t="s">
        <v>112994</v>
      </c>
      <c r="N7" s="37" t="s">
        <v>112995</v>
      </c>
      <c r="O7" s="37" t="s">
        <v>112995</v>
      </c>
      <c r="P7" s="38"/>
      <c r="Q7" s="38"/>
      <c r="R7" s="39">
        <f>+R8+R27</f>
        <v>5606109000</v>
      </c>
      <c r="S7" s="466">
        <f>S8+S27</f>
        <v>8209000000</v>
      </c>
      <c r="T7" s="39">
        <v>3349000000</v>
      </c>
      <c r="U7" s="40"/>
      <c r="V7" s="41"/>
      <c r="W7" s="395" t="s">
        <v>112995</v>
      </c>
    </row>
    <row r="8" spans="2:23" s="53" customFormat="1" ht="15.75" x14ac:dyDescent="0.25">
      <c r="B8" s="43" t="s">
        <v>105516</v>
      </c>
      <c r="C8" s="43" t="s">
        <v>105573</v>
      </c>
      <c r="D8" s="43" t="s">
        <v>105520</v>
      </c>
      <c r="E8" s="43"/>
      <c r="F8" s="43"/>
      <c r="G8" s="43"/>
      <c r="H8" s="43"/>
      <c r="I8" s="43"/>
      <c r="J8" s="412"/>
      <c r="K8" s="437"/>
      <c r="L8" s="45"/>
      <c r="M8" s="46" t="s">
        <v>106083</v>
      </c>
      <c r="N8" s="47" t="s">
        <v>112995</v>
      </c>
      <c r="O8" s="47" t="s">
        <v>112995</v>
      </c>
      <c r="P8" s="48"/>
      <c r="Q8" s="48"/>
      <c r="R8" s="49">
        <f>+R9</f>
        <v>520000000</v>
      </c>
      <c r="S8" s="467">
        <f>S9</f>
        <v>398700000</v>
      </c>
      <c r="T8" s="49"/>
      <c r="U8" s="50"/>
      <c r="V8" s="51"/>
      <c r="W8" s="396" t="s">
        <v>112995</v>
      </c>
    </row>
    <row r="9" spans="2:23" x14ac:dyDescent="0.2">
      <c r="B9" s="54" t="s">
        <v>105516</v>
      </c>
      <c r="C9" s="54" t="s">
        <v>105573</v>
      </c>
      <c r="D9" s="54" t="s">
        <v>105520</v>
      </c>
      <c r="E9" s="54" t="s">
        <v>105520</v>
      </c>
      <c r="F9" s="54"/>
      <c r="G9" s="54"/>
      <c r="H9" s="54"/>
      <c r="I9" s="54"/>
      <c r="J9" s="413"/>
      <c r="K9" s="54"/>
      <c r="L9" s="55"/>
      <c r="M9" s="56" t="s">
        <v>106085</v>
      </c>
      <c r="N9" s="57" t="s">
        <v>112995</v>
      </c>
      <c r="O9" s="57" t="s">
        <v>112995</v>
      </c>
      <c r="P9" s="58"/>
      <c r="Q9" s="58"/>
      <c r="R9" s="59">
        <f>+R10+R21</f>
        <v>520000000</v>
      </c>
      <c r="S9" s="468">
        <f>S10+S21</f>
        <v>398700000</v>
      </c>
      <c r="T9" s="59"/>
      <c r="U9" s="60"/>
      <c r="V9" s="61"/>
      <c r="W9" s="54"/>
    </row>
    <row r="10" spans="2:23" x14ac:dyDescent="0.2">
      <c r="B10" s="63" t="s">
        <v>105516</v>
      </c>
      <c r="C10" s="63" t="s">
        <v>105573</v>
      </c>
      <c r="D10" s="63" t="s">
        <v>105520</v>
      </c>
      <c r="E10" s="63" t="s">
        <v>105520</v>
      </c>
      <c r="F10" s="63" t="s">
        <v>105541</v>
      </c>
      <c r="G10" s="63"/>
      <c r="H10" s="63"/>
      <c r="I10" s="63"/>
      <c r="J10" s="414"/>
      <c r="K10" s="254"/>
      <c r="L10" s="65"/>
      <c r="M10" s="66" t="s">
        <v>106230</v>
      </c>
      <c r="N10" s="67" t="s">
        <v>112995</v>
      </c>
      <c r="O10" s="67" t="s">
        <v>112995</v>
      </c>
      <c r="P10" s="68"/>
      <c r="Q10" s="68"/>
      <c r="R10" s="69">
        <f>+R11+R16</f>
        <v>520000000</v>
      </c>
      <c r="S10" s="469">
        <f>S11+S16</f>
        <v>259000000</v>
      </c>
      <c r="T10" s="69"/>
      <c r="U10" s="70"/>
      <c r="V10" s="70"/>
      <c r="W10" s="254"/>
    </row>
    <row r="11" spans="2:23" x14ac:dyDescent="0.2">
      <c r="B11" s="72" t="s">
        <v>105516</v>
      </c>
      <c r="C11" s="72" t="s">
        <v>105573</v>
      </c>
      <c r="D11" s="72" t="s">
        <v>105520</v>
      </c>
      <c r="E11" s="72" t="s">
        <v>105520</v>
      </c>
      <c r="F11" s="72" t="s">
        <v>105541</v>
      </c>
      <c r="G11" s="72" t="s">
        <v>105541</v>
      </c>
      <c r="H11" s="72"/>
      <c r="I11" s="72"/>
      <c r="J11" s="415"/>
      <c r="K11" s="72"/>
      <c r="L11" s="73"/>
      <c r="M11" s="74" t="s">
        <v>106246</v>
      </c>
      <c r="N11" s="75" t="s">
        <v>112995</v>
      </c>
      <c r="O11" s="75" t="s">
        <v>112995</v>
      </c>
      <c r="P11" s="76"/>
      <c r="Q11" s="76"/>
      <c r="R11" s="77">
        <f>+R12</f>
        <v>120000000</v>
      </c>
      <c r="S11" s="470">
        <f>S12</f>
        <v>119000000</v>
      </c>
      <c r="T11" s="77"/>
      <c r="U11" s="78"/>
      <c r="V11" s="78"/>
      <c r="W11" s="72"/>
    </row>
    <row r="12" spans="2:23" x14ac:dyDescent="0.2">
      <c r="B12" s="80" t="s">
        <v>105516</v>
      </c>
      <c r="C12" s="80" t="s">
        <v>105573</v>
      </c>
      <c r="D12" s="80" t="s">
        <v>105520</v>
      </c>
      <c r="E12" s="80" t="s">
        <v>105520</v>
      </c>
      <c r="F12" s="80" t="s">
        <v>105541</v>
      </c>
      <c r="G12" s="80" t="s">
        <v>105541</v>
      </c>
      <c r="H12" s="81" t="s">
        <v>105573</v>
      </c>
      <c r="I12" s="80"/>
      <c r="J12" s="416"/>
      <c r="K12" s="80"/>
      <c r="L12" s="436"/>
      <c r="M12" s="82" t="s">
        <v>106250</v>
      </c>
      <c r="N12" s="83" t="s">
        <v>112995</v>
      </c>
      <c r="O12" s="83" t="s">
        <v>112995</v>
      </c>
      <c r="P12" s="84"/>
      <c r="Q12" s="84"/>
      <c r="R12" s="85">
        <f>SUM(R13:R15)</f>
        <v>120000000</v>
      </c>
      <c r="S12" s="471">
        <v>119000000</v>
      </c>
      <c r="T12" s="85"/>
      <c r="U12" s="86"/>
      <c r="V12" s="86"/>
      <c r="W12" s="80"/>
    </row>
    <row r="13" spans="2:23" ht="75" x14ac:dyDescent="0.2">
      <c r="B13" s="88"/>
      <c r="C13" s="89"/>
      <c r="D13" s="89"/>
      <c r="E13" s="89"/>
      <c r="F13" s="89"/>
      <c r="G13" s="89"/>
      <c r="H13" s="89"/>
      <c r="I13" s="89"/>
      <c r="J13" s="89"/>
      <c r="K13" s="96" t="s">
        <v>106245</v>
      </c>
      <c r="L13" s="91" t="s">
        <v>112996</v>
      </c>
      <c r="M13" s="92" t="s">
        <v>113521</v>
      </c>
      <c r="N13" s="93">
        <v>45777</v>
      </c>
      <c r="O13" s="93" t="s">
        <v>113087</v>
      </c>
      <c r="P13" s="94" t="s">
        <v>113045</v>
      </c>
      <c r="Q13" s="94" t="s">
        <v>112999</v>
      </c>
      <c r="R13" s="95">
        <v>120000000</v>
      </c>
      <c r="S13" s="472"/>
      <c r="T13" s="95"/>
      <c r="U13" s="96" t="s">
        <v>106081</v>
      </c>
      <c r="V13" s="97"/>
      <c r="W13" s="96" t="s">
        <v>113000</v>
      </c>
    </row>
    <row r="14" spans="2:23" x14ac:dyDescent="0.2">
      <c r="B14" s="88"/>
      <c r="C14" s="89"/>
      <c r="D14" s="89"/>
      <c r="E14" s="89"/>
      <c r="F14" s="89"/>
      <c r="G14" s="89"/>
      <c r="H14" s="89"/>
      <c r="I14" s="89"/>
      <c r="J14" s="89"/>
      <c r="K14" s="96" t="s">
        <v>106245</v>
      </c>
      <c r="L14" s="55"/>
      <c r="M14" s="100"/>
      <c r="N14" s="93"/>
      <c r="O14" s="93"/>
      <c r="P14" s="94"/>
      <c r="Q14" s="94"/>
      <c r="R14" s="95"/>
      <c r="S14" s="472"/>
      <c r="T14" s="95"/>
      <c r="U14" s="96"/>
      <c r="V14" s="97"/>
      <c r="W14" s="96"/>
    </row>
    <row r="15" spans="2:23" x14ac:dyDescent="0.2">
      <c r="B15" s="88"/>
      <c r="C15" s="89"/>
      <c r="D15" s="89"/>
      <c r="E15" s="89"/>
      <c r="F15" s="89"/>
      <c r="G15" s="89"/>
      <c r="H15" s="89"/>
      <c r="I15" s="89"/>
      <c r="J15" s="89"/>
      <c r="K15" s="96" t="s">
        <v>106245</v>
      </c>
      <c r="L15" s="55"/>
      <c r="M15" s="100"/>
      <c r="N15" s="93"/>
      <c r="O15" s="93"/>
      <c r="P15" s="94"/>
      <c r="Q15" s="94"/>
      <c r="R15" s="95"/>
      <c r="S15" s="472"/>
      <c r="T15" s="95"/>
      <c r="U15" s="96"/>
      <c r="V15" s="97"/>
      <c r="W15" s="96"/>
    </row>
    <row r="16" spans="2:23" x14ac:dyDescent="0.2">
      <c r="B16" s="72" t="s">
        <v>105516</v>
      </c>
      <c r="C16" s="72" t="s">
        <v>105573</v>
      </c>
      <c r="D16" s="72" t="s">
        <v>105520</v>
      </c>
      <c r="E16" s="72" t="s">
        <v>105520</v>
      </c>
      <c r="F16" s="72" t="s">
        <v>105541</v>
      </c>
      <c r="G16" s="72" t="s">
        <v>105544</v>
      </c>
      <c r="H16" s="72"/>
      <c r="I16" s="72"/>
      <c r="J16" s="415"/>
      <c r="K16" s="72"/>
      <c r="L16" s="73"/>
      <c r="M16" s="74" t="s">
        <v>106264</v>
      </c>
      <c r="N16" s="75" t="s">
        <v>112995</v>
      </c>
      <c r="O16" s="75" t="s">
        <v>112995</v>
      </c>
      <c r="P16" s="76" t="s">
        <v>112995</v>
      </c>
      <c r="Q16" s="76"/>
      <c r="R16" s="77">
        <f>+R17</f>
        <v>400000000</v>
      </c>
      <c r="S16" s="470">
        <f>S17</f>
        <v>140000000</v>
      </c>
      <c r="T16" s="77"/>
      <c r="U16" s="78"/>
      <c r="V16" s="78"/>
      <c r="W16" s="72"/>
    </row>
    <row r="17" spans="2:23" ht="30" customHeight="1" x14ac:dyDescent="0.2">
      <c r="B17" s="80" t="s">
        <v>105516</v>
      </c>
      <c r="C17" s="80" t="s">
        <v>105573</v>
      </c>
      <c r="D17" s="80" t="s">
        <v>105520</v>
      </c>
      <c r="E17" s="80" t="s">
        <v>105520</v>
      </c>
      <c r="F17" s="80" t="s">
        <v>105541</v>
      </c>
      <c r="G17" s="80" t="s">
        <v>105544</v>
      </c>
      <c r="H17" s="80" t="s">
        <v>105573</v>
      </c>
      <c r="I17" s="80"/>
      <c r="J17" s="416"/>
      <c r="K17" s="80"/>
      <c r="L17" s="436"/>
      <c r="M17" s="82" t="s">
        <v>113005</v>
      </c>
      <c r="N17" s="83" t="s">
        <v>112995</v>
      </c>
      <c r="O17" s="83" t="s">
        <v>112995</v>
      </c>
      <c r="P17" s="84" t="s">
        <v>112995</v>
      </c>
      <c r="Q17" s="84"/>
      <c r="R17" s="85">
        <f>SUM(R18:R20)</f>
        <v>400000000</v>
      </c>
      <c r="S17" s="471">
        <v>140000000</v>
      </c>
      <c r="T17" s="85"/>
      <c r="U17" s="86"/>
      <c r="V17" s="86"/>
      <c r="W17" s="341"/>
    </row>
    <row r="18" spans="2:23" ht="45" x14ac:dyDescent="0.2">
      <c r="B18" s="88"/>
      <c r="C18" s="89"/>
      <c r="D18" s="89"/>
      <c r="E18" s="89"/>
      <c r="F18" s="89"/>
      <c r="G18" s="89"/>
      <c r="H18" s="89"/>
      <c r="I18" s="89"/>
      <c r="J18" s="89"/>
      <c r="K18" s="96" t="s">
        <v>106263</v>
      </c>
      <c r="L18" s="91" t="s">
        <v>113422</v>
      </c>
      <c r="M18" s="92" t="s">
        <v>113423</v>
      </c>
      <c r="N18" s="93">
        <v>45719</v>
      </c>
      <c r="O18" s="93" t="s">
        <v>113006</v>
      </c>
      <c r="P18" s="94" t="s">
        <v>113040</v>
      </c>
      <c r="Q18" s="94" t="s">
        <v>112999</v>
      </c>
      <c r="R18" s="95">
        <v>90000000</v>
      </c>
      <c r="S18" s="472"/>
      <c r="T18" s="95"/>
      <c r="U18" s="103"/>
      <c r="V18" s="104"/>
      <c r="W18" s="96" t="s">
        <v>113003</v>
      </c>
    </row>
    <row r="19" spans="2:23" ht="30" x14ac:dyDescent="0.2">
      <c r="B19" s="88"/>
      <c r="C19" s="89"/>
      <c r="D19" s="89"/>
      <c r="E19" s="89"/>
      <c r="F19" s="89"/>
      <c r="G19" s="89"/>
      <c r="H19" s="89"/>
      <c r="I19" s="89"/>
      <c r="J19" s="89"/>
      <c r="K19" s="96" t="s">
        <v>106263</v>
      </c>
      <c r="L19" s="91" t="s">
        <v>113424</v>
      </c>
      <c r="M19" s="92" t="s">
        <v>113425</v>
      </c>
      <c r="N19" s="93">
        <v>45733</v>
      </c>
      <c r="O19" s="93" t="s">
        <v>113006</v>
      </c>
      <c r="P19" s="94" t="s">
        <v>113028</v>
      </c>
      <c r="Q19" s="94" t="s">
        <v>113008</v>
      </c>
      <c r="R19" s="95">
        <v>160000000</v>
      </c>
      <c r="S19" s="472"/>
      <c r="T19" s="95"/>
      <c r="U19" s="103"/>
      <c r="V19" s="104"/>
      <c r="W19" s="96" t="s">
        <v>113003</v>
      </c>
    </row>
    <row r="20" spans="2:23" ht="45" x14ac:dyDescent="0.2">
      <c r="B20" s="88"/>
      <c r="C20" s="89"/>
      <c r="D20" s="89"/>
      <c r="E20" s="89"/>
      <c r="F20" s="89"/>
      <c r="G20" s="89"/>
      <c r="H20" s="89"/>
      <c r="I20" s="89"/>
      <c r="J20" s="89"/>
      <c r="K20" s="96" t="s">
        <v>106263</v>
      </c>
      <c r="L20" s="91">
        <v>43211500</v>
      </c>
      <c r="M20" s="102" t="s">
        <v>113426</v>
      </c>
      <c r="N20" s="93">
        <v>45733</v>
      </c>
      <c r="O20" s="93" t="s">
        <v>113006</v>
      </c>
      <c r="P20" s="94" t="s">
        <v>113028</v>
      </c>
      <c r="Q20" s="94" t="s">
        <v>112999</v>
      </c>
      <c r="R20" s="95">
        <v>150000000</v>
      </c>
      <c r="S20" s="472"/>
      <c r="T20" s="95"/>
      <c r="U20" s="103"/>
      <c r="V20" s="104"/>
      <c r="W20" s="96" t="s">
        <v>113003</v>
      </c>
    </row>
    <row r="21" spans="2:23" x14ac:dyDescent="0.2">
      <c r="B21" s="63" t="s">
        <v>105516</v>
      </c>
      <c r="C21" s="63" t="s">
        <v>105573</v>
      </c>
      <c r="D21" s="63" t="s">
        <v>105520</v>
      </c>
      <c r="E21" s="63" t="s">
        <v>105520</v>
      </c>
      <c r="F21" s="63" t="s">
        <v>105547</v>
      </c>
      <c r="G21" s="63"/>
      <c r="H21" s="63"/>
      <c r="I21" s="63"/>
      <c r="J21" s="414"/>
      <c r="K21" s="254"/>
      <c r="L21" s="65"/>
      <c r="M21" s="66" t="s">
        <v>106350</v>
      </c>
      <c r="N21" s="67"/>
      <c r="O21" s="67"/>
      <c r="P21" s="68"/>
      <c r="Q21" s="68"/>
      <c r="R21" s="69">
        <f>+R22</f>
        <v>0</v>
      </c>
      <c r="S21" s="469">
        <f>S22</f>
        <v>139700000</v>
      </c>
      <c r="T21" s="69"/>
      <c r="U21" s="70"/>
      <c r="V21" s="70"/>
      <c r="W21" s="254"/>
    </row>
    <row r="22" spans="2:23" x14ac:dyDescent="0.2">
      <c r="B22" s="72" t="s">
        <v>105516</v>
      </c>
      <c r="C22" s="72" t="s">
        <v>105573</v>
      </c>
      <c r="D22" s="72" t="s">
        <v>105520</v>
      </c>
      <c r="E22" s="72" t="s">
        <v>105520</v>
      </c>
      <c r="F22" s="72" t="s">
        <v>105547</v>
      </c>
      <c r="G22" s="72" t="s">
        <v>105535</v>
      </c>
      <c r="H22" s="72"/>
      <c r="I22" s="72"/>
      <c r="J22" s="415"/>
      <c r="K22" s="72"/>
      <c r="L22" s="73"/>
      <c r="M22" s="74" t="s">
        <v>106388</v>
      </c>
      <c r="N22" s="75"/>
      <c r="O22" s="75"/>
      <c r="P22" s="76"/>
      <c r="Q22" s="76"/>
      <c r="R22" s="77">
        <f>+R23</f>
        <v>0</v>
      </c>
      <c r="S22" s="470">
        <f>S23</f>
        <v>139700000</v>
      </c>
      <c r="T22" s="77"/>
      <c r="U22" s="78"/>
      <c r="V22" s="78"/>
      <c r="W22" s="72"/>
    </row>
    <row r="23" spans="2:23" x14ac:dyDescent="0.2">
      <c r="B23" s="80" t="s">
        <v>105516</v>
      </c>
      <c r="C23" s="80" t="s">
        <v>105573</v>
      </c>
      <c r="D23" s="80" t="s">
        <v>105520</v>
      </c>
      <c r="E23" s="80" t="s">
        <v>105520</v>
      </c>
      <c r="F23" s="80" t="s">
        <v>105547</v>
      </c>
      <c r="G23" s="80" t="s">
        <v>105535</v>
      </c>
      <c r="H23" s="80" t="s">
        <v>105675</v>
      </c>
      <c r="I23" s="80"/>
      <c r="J23" s="416"/>
      <c r="K23" s="80"/>
      <c r="L23" s="436"/>
      <c r="M23" s="82" t="s">
        <v>106404</v>
      </c>
      <c r="N23" s="83"/>
      <c r="O23" s="83"/>
      <c r="P23" s="84"/>
      <c r="Q23" s="84"/>
      <c r="R23" s="85">
        <f>+R24</f>
        <v>0</v>
      </c>
      <c r="S23" s="471">
        <f>S24</f>
        <v>139700000</v>
      </c>
      <c r="T23" s="85"/>
      <c r="U23" s="86"/>
      <c r="V23" s="86"/>
      <c r="W23" s="341"/>
    </row>
    <row r="24" spans="2:23" x14ac:dyDescent="0.2">
      <c r="B24" s="80" t="s">
        <v>105516</v>
      </c>
      <c r="C24" s="80" t="s">
        <v>105573</v>
      </c>
      <c r="D24" s="80" t="s">
        <v>105520</v>
      </c>
      <c r="E24" s="80" t="s">
        <v>105520</v>
      </c>
      <c r="F24" s="80" t="s">
        <v>105547</v>
      </c>
      <c r="G24" s="80" t="s">
        <v>105535</v>
      </c>
      <c r="H24" s="80" t="s">
        <v>105675</v>
      </c>
      <c r="I24" s="80" t="s">
        <v>105576</v>
      </c>
      <c r="J24" s="416"/>
      <c r="K24" s="80"/>
      <c r="L24" s="436"/>
      <c r="M24" s="82" t="s">
        <v>106406</v>
      </c>
      <c r="N24" s="83"/>
      <c r="O24" s="83"/>
      <c r="P24" s="84"/>
      <c r="Q24" s="84"/>
      <c r="R24" s="85">
        <f>+R25</f>
        <v>0</v>
      </c>
      <c r="S24" s="471">
        <f>S25</f>
        <v>139700000</v>
      </c>
      <c r="T24" s="85"/>
      <c r="U24" s="86"/>
      <c r="V24" s="86"/>
      <c r="W24" s="341"/>
    </row>
    <row r="25" spans="2:23" x14ac:dyDescent="0.2">
      <c r="B25" s="80" t="s">
        <v>105516</v>
      </c>
      <c r="C25" s="80" t="s">
        <v>105573</v>
      </c>
      <c r="D25" s="80" t="s">
        <v>105520</v>
      </c>
      <c r="E25" s="80" t="s">
        <v>105520</v>
      </c>
      <c r="F25" s="80" t="s">
        <v>105547</v>
      </c>
      <c r="G25" s="80" t="s">
        <v>105535</v>
      </c>
      <c r="H25" s="80" t="s">
        <v>105675</v>
      </c>
      <c r="I25" s="80" t="s">
        <v>105576</v>
      </c>
      <c r="J25" s="416" t="s">
        <v>105520</v>
      </c>
      <c r="K25" s="80"/>
      <c r="L25" s="436"/>
      <c r="M25" s="82" t="s">
        <v>106408</v>
      </c>
      <c r="N25" s="83"/>
      <c r="O25" s="83"/>
      <c r="P25" s="84"/>
      <c r="Q25" s="84"/>
      <c r="R25" s="85">
        <f>+R26</f>
        <v>0</v>
      </c>
      <c r="S25" s="471">
        <v>139700000</v>
      </c>
      <c r="T25" s="85"/>
      <c r="U25" s="86"/>
      <c r="V25" s="86"/>
      <c r="W25" s="341"/>
    </row>
    <row r="26" spans="2:23" x14ac:dyDescent="0.2">
      <c r="B26" s="88"/>
      <c r="C26" s="89"/>
      <c r="D26" s="89"/>
      <c r="E26" s="89"/>
      <c r="F26" s="89"/>
      <c r="G26" s="89"/>
      <c r="H26" s="89"/>
      <c r="I26" s="89"/>
      <c r="J26" s="89"/>
      <c r="K26" s="96" t="s">
        <v>106387</v>
      </c>
      <c r="L26" s="55"/>
      <c r="M26" s="92"/>
      <c r="N26" s="93"/>
      <c r="O26" s="93"/>
      <c r="P26" s="94"/>
      <c r="Q26" s="94"/>
      <c r="R26" s="95"/>
      <c r="S26" s="472"/>
      <c r="T26" s="95"/>
      <c r="U26" s="96"/>
      <c r="V26" s="97"/>
      <c r="W26" s="96"/>
    </row>
    <row r="27" spans="2:23" s="53" customFormat="1" ht="15.75" x14ac:dyDescent="0.25">
      <c r="B27" s="43" t="s">
        <v>105516</v>
      </c>
      <c r="C27" s="43" t="s">
        <v>105573</v>
      </c>
      <c r="D27" s="43" t="s">
        <v>105573</v>
      </c>
      <c r="E27" s="43"/>
      <c r="F27" s="43"/>
      <c r="G27" s="43"/>
      <c r="H27" s="43"/>
      <c r="I27" s="43"/>
      <c r="J27" s="412"/>
      <c r="K27" s="437"/>
      <c r="L27" s="45"/>
      <c r="M27" s="46" t="s">
        <v>106435</v>
      </c>
      <c r="N27" s="47"/>
      <c r="O27" s="47"/>
      <c r="P27" s="48"/>
      <c r="Q27" s="48"/>
      <c r="R27" s="49">
        <f>+R28+R98</f>
        <v>5086109000</v>
      </c>
      <c r="S27" s="467">
        <f>S28+S98</f>
        <v>7810300000</v>
      </c>
      <c r="T27" s="49"/>
      <c r="U27" s="50"/>
      <c r="V27" s="50"/>
      <c r="W27" s="396"/>
    </row>
    <row r="28" spans="2:23" x14ac:dyDescent="0.2">
      <c r="B28" s="54" t="s">
        <v>105516</v>
      </c>
      <c r="C28" s="54" t="s">
        <v>105573</v>
      </c>
      <c r="D28" s="54" t="s">
        <v>105573</v>
      </c>
      <c r="E28" s="54" t="s">
        <v>105520</v>
      </c>
      <c r="F28" s="54"/>
      <c r="G28" s="54"/>
      <c r="H28" s="54"/>
      <c r="I28" s="54"/>
      <c r="J28" s="413"/>
      <c r="K28" s="54"/>
      <c r="L28" s="55"/>
      <c r="M28" s="56" t="s">
        <v>106437</v>
      </c>
      <c r="N28" s="57"/>
      <c r="O28" s="57"/>
      <c r="P28" s="58"/>
      <c r="Q28" s="58"/>
      <c r="R28" s="59">
        <f>+R29+R33+R46+R76</f>
        <v>1224500000</v>
      </c>
      <c r="S28" s="468">
        <f>S29+S33+S46+S76</f>
        <v>1138338500</v>
      </c>
      <c r="T28" s="59"/>
      <c r="U28" s="60"/>
      <c r="V28" s="60"/>
      <c r="W28" s="397"/>
    </row>
    <row r="29" spans="2:23" x14ac:dyDescent="0.2">
      <c r="B29" s="63" t="s">
        <v>105516</v>
      </c>
      <c r="C29" s="63" t="s">
        <v>105573</v>
      </c>
      <c r="D29" s="63" t="s">
        <v>105573</v>
      </c>
      <c r="E29" s="63" t="s">
        <v>105520</v>
      </c>
      <c r="F29" s="63" t="s">
        <v>106438</v>
      </c>
      <c r="G29" s="63"/>
      <c r="H29" s="63"/>
      <c r="I29" s="63"/>
      <c r="J29" s="414"/>
      <c r="K29" s="254"/>
      <c r="L29" s="65"/>
      <c r="M29" s="66" t="s">
        <v>106440</v>
      </c>
      <c r="N29" s="67"/>
      <c r="O29" s="67"/>
      <c r="P29" s="68"/>
      <c r="Q29" s="68"/>
      <c r="R29" s="69">
        <f>+R30</f>
        <v>5500000</v>
      </c>
      <c r="S29" s="469">
        <f>S30</f>
        <v>5000000</v>
      </c>
      <c r="T29" s="69"/>
      <c r="U29" s="70"/>
      <c r="V29" s="70"/>
      <c r="W29" s="254"/>
    </row>
    <row r="30" spans="2:23" x14ac:dyDescent="0.2">
      <c r="B30" s="72" t="s">
        <v>105516</v>
      </c>
      <c r="C30" s="72" t="s">
        <v>105573</v>
      </c>
      <c r="D30" s="72" t="s">
        <v>105573</v>
      </c>
      <c r="E30" s="72" t="s">
        <v>105520</v>
      </c>
      <c r="F30" s="72" t="s">
        <v>106438</v>
      </c>
      <c r="G30" s="72" t="s">
        <v>105528</v>
      </c>
      <c r="H30" s="72"/>
      <c r="I30" s="72"/>
      <c r="J30" s="415"/>
      <c r="K30" s="72"/>
      <c r="L30" s="73"/>
      <c r="M30" s="74" t="s">
        <v>106442</v>
      </c>
      <c r="N30" s="75"/>
      <c r="O30" s="75"/>
      <c r="P30" s="76"/>
      <c r="Q30" s="76"/>
      <c r="R30" s="77">
        <f>+R31</f>
        <v>5500000</v>
      </c>
      <c r="S30" s="470">
        <f>S31</f>
        <v>5000000</v>
      </c>
      <c r="T30" s="77"/>
      <c r="U30" s="78"/>
      <c r="V30" s="78"/>
      <c r="W30" s="72"/>
    </row>
    <row r="31" spans="2:23" x14ac:dyDescent="0.2">
      <c r="B31" s="106" t="s">
        <v>105516</v>
      </c>
      <c r="C31" s="106" t="s">
        <v>105573</v>
      </c>
      <c r="D31" s="106" t="s">
        <v>105573</v>
      </c>
      <c r="E31" s="106" t="s">
        <v>105520</v>
      </c>
      <c r="F31" s="106" t="s">
        <v>106438</v>
      </c>
      <c r="G31" s="106" t="s">
        <v>105528</v>
      </c>
      <c r="H31" s="106" t="s">
        <v>106100</v>
      </c>
      <c r="I31" s="106"/>
      <c r="J31" s="417"/>
      <c r="K31" s="122"/>
      <c r="L31" s="108"/>
      <c r="M31" s="303" t="s">
        <v>113217</v>
      </c>
      <c r="N31" s="110"/>
      <c r="O31" s="110"/>
      <c r="P31" s="111"/>
      <c r="Q31" s="111"/>
      <c r="R31" s="112">
        <f>+R32</f>
        <v>5500000</v>
      </c>
      <c r="S31" s="473">
        <v>5000000</v>
      </c>
      <c r="T31" s="112"/>
      <c r="U31" s="113"/>
      <c r="V31" s="113"/>
      <c r="W31" s="122"/>
    </row>
    <row r="32" spans="2:23" ht="30" x14ac:dyDescent="0.2">
      <c r="B32" s="115"/>
      <c r="C32" s="116"/>
      <c r="D32" s="116"/>
      <c r="E32" s="116"/>
      <c r="F32" s="116"/>
      <c r="G32" s="116"/>
      <c r="H32" s="116"/>
      <c r="I32" s="116"/>
      <c r="J32" s="116"/>
      <c r="K32" s="96" t="s">
        <v>106441</v>
      </c>
      <c r="L32" s="91">
        <v>50201700</v>
      </c>
      <c r="M32" s="102" t="s">
        <v>113013</v>
      </c>
      <c r="N32" s="93">
        <v>45731</v>
      </c>
      <c r="O32" s="93" t="s">
        <v>113006</v>
      </c>
      <c r="P32" s="94" t="s">
        <v>113040</v>
      </c>
      <c r="Q32" s="94" t="s">
        <v>113008</v>
      </c>
      <c r="R32" s="95">
        <v>5500000</v>
      </c>
      <c r="S32" s="472"/>
      <c r="T32" s="95"/>
      <c r="U32" s="96"/>
      <c r="V32" s="97"/>
      <c r="W32" s="398" t="s">
        <v>113012</v>
      </c>
    </row>
    <row r="33" spans="2:23" ht="30" x14ac:dyDescent="0.2">
      <c r="B33" s="63" t="s">
        <v>105516</v>
      </c>
      <c r="C33" s="63" t="s">
        <v>105573</v>
      </c>
      <c r="D33" s="63" t="s">
        <v>105573</v>
      </c>
      <c r="E33" s="63" t="s">
        <v>105520</v>
      </c>
      <c r="F33" s="63" t="s">
        <v>105535</v>
      </c>
      <c r="G33" s="63"/>
      <c r="H33" s="63"/>
      <c r="I33" s="63"/>
      <c r="J33" s="414"/>
      <c r="K33" s="254"/>
      <c r="L33" s="65"/>
      <c r="M33" s="66" t="s">
        <v>106527</v>
      </c>
      <c r="N33" s="67"/>
      <c r="O33" s="67"/>
      <c r="P33" s="68"/>
      <c r="Q33" s="68"/>
      <c r="R33" s="69">
        <f>+R34+R39+R43</f>
        <v>410900000</v>
      </c>
      <c r="S33" s="469">
        <f>S34+S39+S43</f>
        <v>375575360</v>
      </c>
      <c r="T33" s="69"/>
      <c r="U33" s="70"/>
      <c r="V33" s="70"/>
      <c r="W33" s="254"/>
    </row>
    <row r="34" spans="2:23" ht="30" x14ac:dyDescent="0.2">
      <c r="B34" s="72" t="s">
        <v>105516</v>
      </c>
      <c r="C34" s="72" t="s">
        <v>105573</v>
      </c>
      <c r="D34" s="72" t="s">
        <v>105573</v>
      </c>
      <c r="E34" s="72" t="s">
        <v>105520</v>
      </c>
      <c r="F34" s="72" t="s">
        <v>105535</v>
      </c>
      <c r="G34" s="72" t="s">
        <v>105538</v>
      </c>
      <c r="H34" s="72"/>
      <c r="I34" s="72"/>
      <c r="J34" s="415"/>
      <c r="K34" s="72"/>
      <c r="L34" s="73"/>
      <c r="M34" s="74" t="s">
        <v>106547</v>
      </c>
      <c r="N34" s="75"/>
      <c r="O34" s="75"/>
      <c r="P34" s="76"/>
      <c r="Q34" s="76"/>
      <c r="R34" s="77">
        <f>+R35+R37</f>
        <v>20000000</v>
      </c>
      <c r="S34" s="470">
        <f>S35+S37</f>
        <v>18000000</v>
      </c>
      <c r="T34" s="77"/>
      <c r="U34" s="78"/>
      <c r="V34" s="78"/>
      <c r="W34" s="72"/>
    </row>
    <row r="35" spans="2:23" x14ac:dyDescent="0.2">
      <c r="B35" s="80" t="s">
        <v>105516</v>
      </c>
      <c r="C35" s="80" t="s">
        <v>105573</v>
      </c>
      <c r="D35" s="80" t="s">
        <v>105573</v>
      </c>
      <c r="E35" s="80" t="s">
        <v>105520</v>
      </c>
      <c r="F35" s="80" t="s">
        <v>105535</v>
      </c>
      <c r="G35" s="80" t="s">
        <v>105538</v>
      </c>
      <c r="H35" s="80" t="s">
        <v>105924</v>
      </c>
      <c r="I35" s="80"/>
      <c r="J35" s="416"/>
      <c r="K35" s="80"/>
      <c r="L35" s="436"/>
      <c r="M35" s="304" t="s">
        <v>113218</v>
      </c>
      <c r="N35" s="83"/>
      <c r="O35" s="83"/>
      <c r="P35" s="84"/>
      <c r="Q35" s="84"/>
      <c r="R35" s="85">
        <f>+R36</f>
        <v>10000000</v>
      </c>
      <c r="S35" s="471">
        <v>9000000</v>
      </c>
      <c r="T35" s="85"/>
      <c r="U35" s="86"/>
      <c r="V35" s="86"/>
      <c r="W35" s="341"/>
    </row>
    <row r="36" spans="2:23" ht="30" x14ac:dyDescent="0.2">
      <c r="B36" s="88"/>
      <c r="C36" s="89"/>
      <c r="D36" s="89"/>
      <c r="E36" s="89"/>
      <c r="F36" s="89"/>
      <c r="G36" s="89"/>
      <c r="H36" s="89"/>
      <c r="I36" s="89"/>
      <c r="J36" s="89"/>
      <c r="K36" s="96" t="s">
        <v>106546</v>
      </c>
      <c r="L36" s="91">
        <v>50161500</v>
      </c>
      <c r="M36" s="102" t="s">
        <v>113014</v>
      </c>
      <c r="N36" s="93">
        <v>45731</v>
      </c>
      <c r="O36" s="93" t="s">
        <v>113006</v>
      </c>
      <c r="P36" s="94" t="s">
        <v>113040</v>
      </c>
      <c r="Q36" s="94" t="s">
        <v>113008</v>
      </c>
      <c r="R36" s="95">
        <v>10000000</v>
      </c>
      <c r="S36" s="472"/>
      <c r="T36" s="95"/>
      <c r="U36" s="96"/>
      <c r="V36" s="97"/>
      <c r="W36" s="398" t="s">
        <v>113012</v>
      </c>
    </row>
    <row r="37" spans="2:23" x14ac:dyDescent="0.2">
      <c r="B37" s="80" t="s">
        <v>105516</v>
      </c>
      <c r="C37" s="80" t="s">
        <v>105573</v>
      </c>
      <c r="D37" s="80" t="s">
        <v>105573</v>
      </c>
      <c r="E37" s="80" t="s">
        <v>105520</v>
      </c>
      <c r="F37" s="80" t="s">
        <v>105535</v>
      </c>
      <c r="G37" s="80" t="s">
        <v>105538</v>
      </c>
      <c r="H37" s="80" t="s">
        <v>106106</v>
      </c>
      <c r="I37" s="80"/>
      <c r="J37" s="416"/>
      <c r="K37" s="80"/>
      <c r="L37" s="436"/>
      <c r="M37" s="82" t="s">
        <v>106563</v>
      </c>
      <c r="N37" s="83"/>
      <c r="O37" s="83"/>
      <c r="P37" s="84"/>
      <c r="Q37" s="84"/>
      <c r="R37" s="85">
        <f>+R38</f>
        <v>10000000</v>
      </c>
      <c r="S37" s="471">
        <v>9000000</v>
      </c>
      <c r="T37" s="85"/>
      <c r="U37" s="86"/>
      <c r="V37" s="86"/>
      <c r="W37" s="341"/>
    </row>
    <row r="38" spans="2:23" ht="30" x14ac:dyDescent="0.2">
      <c r="B38" s="88"/>
      <c r="C38" s="89"/>
      <c r="D38" s="89"/>
      <c r="E38" s="89"/>
      <c r="F38" s="89"/>
      <c r="G38" s="89"/>
      <c r="H38" s="89"/>
      <c r="I38" s="89"/>
      <c r="J38" s="89"/>
      <c r="K38" s="96" t="s">
        <v>106546</v>
      </c>
      <c r="L38" s="55">
        <v>50161500</v>
      </c>
      <c r="M38" s="102" t="s">
        <v>113015</v>
      </c>
      <c r="N38" s="93">
        <v>45731</v>
      </c>
      <c r="O38" s="93" t="s">
        <v>113006</v>
      </c>
      <c r="P38" s="94" t="s">
        <v>113040</v>
      </c>
      <c r="Q38" s="94" t="s">
        <v>113008</v>
      </c>
      <c r="R38" s="95">
        <v>10000000</v>
      </c>
      <c r="S38" s="472"/>
      <c r="T38" s="95"/>
      <c r="U38" s="96"/>
      <c r="V38" s="97"/>
      <c r="W38" s="398" t="s">
        <v>113012</v>
      </c>
    </row>
    <row r="39" spans="2:23" x14ac:dyDescent="0.2">
      <c r="B39" s="72" t="s">
        <v>105516</v>
      </c>
      <c r="C39" s="72" t="s">
        <v>105573</v>
      </c>
      <c r="D39" s="72" t="s">
        <v>105573</v>
      </c>
      <c r="E39" s="72" t="s">
        <v>105520</v>
      </c>
      <c r="F39" s="72" t="s">
        <v>105535</v>
      </c>
      <c r="G39" s="72" t="s">
        <v>105550</v>
      </c>
      <c r="H39" s="72"/>
      <c r="I39" s="72"/>
      <c r="J39" s="415"/>
      <c r="K39" s="72"/>
      <c r="L39" s="73"/>
      <c r="M39" s="74" t="s">
        <v>106581</v>
      </c>
      <c r="N39" s="75"/>
      <c r="O39" s="75"/>
      <c r="P39" s="76"/>
      <c r="Q39" s="76"/>
      <c r="R39" s="77">
        <f>SUM(R40:R42)</f>
        <v>70900000</v>
      </c>
      <c r="S39" s="470">
        <v>57575360</v>
      </c>
      <c r="T39" s="77"/>
      <c r="U39" s="78"/>
      <c r="V39" s="78"/>
      <c r="W39" s="72"/>
    </row>
    <row r="40" spans="2:23" ht="30" x14ac:dyDescent="0.2">
      <c r="B40" s="88"/>
      <c r="C40" s="89"/>
      <c r="D40" s="89"/>
      <c r="E40" s="89"/>
      <c r="F40" s="89"/>
      <c r="G40" s="89"/>
      <c r="H40" s="89"/>
      <c r="I40" s="89"/>
      <c r="J40" s="89"/>
      <c r="K40" s="96" t="s">
        <v>106580</v>
      </c>
      <c r="L40" s="55">
        <v>14121500</v>
      </c>
      <c r="M40" s="102" t="s">
        <v>113016</v>
      </c>
      <c r="N40" s="93">
        <v>45731</v>
      </c>
      <c r="O40" s="93" t="s">
        <v>113006</v>
      </c>
      <c r="P40" s="94" t="s">
        <v>113040</v>
      </c>
      <c r="Q40" s="94" t="s">
        <v>113008</v>
      </c>
      <c r="R40" s="95">
        <v>900000</v>
      </c>
      <c r="S40" s="472"/>
      <c r="T40" s="95"/>
      <c r="U40" s="96"/>
      <c r="V40" s="97"/>
      <c r="W40" s="398" t="s">
        <v>113012</v>
      </c>
    </row>
    <row r="41" spans="2:23" ht="60" x14ac:dyDescent="0.2">
      <c r="B41" s="88"/>
      <c r="C41" s="89"/>
      <c r="D41" s="89"/>
      <c r="E41" s="89"/>
      <c r="F41" s="89"/>
      <c r="G41" s="89"/>
      <c r="H41" s="89"/>
      <c r="I41" s="89"/>
      <c r="J41" s="89"/>
      <c r="K41" s="96" t="s">
        <v>106580</v>
      </c>
      <c r="L41" s="91" t="s">
        <v>113340</v>
      </c>
      <c r="M41" s="102" t="s">
        <v>113502</v>
      </c>
      <c r="N41" s="93">
        <v>45717</v>
      </c>
      <c r="O41" s="93" t="s">
        <v>113006</v>
      </c>
      <c r="P41" s="94" t="s">
        <v>113045</v>
      </c>
      <c r="Q41" s="94" t="s">
        <v>113052</v>
      </c>
      <c r="R41" s="95">
        <v>10000000</v>
      </c>
      <c r="S41" s="472"/>
      <c r="T41" s="95"/>
      <c r="U41" s="96"/>
      <c r="V41" s="97"/>
      <c r="W41" s="96" t="s">
        <v>113019</v>
      </c>
    </row>
    <row r="42" spans="2:23" ht="150" x14ac:dyDescent="0.2">
      <c r="B42" s="88"/>
      <c r="C42" s="89"/>
      <c r="D42" s="89"/>
      <c r="E42" s="89"/>
      <c r="F42" s="89"/>
      <c r="G42" s="89"/>
      <c r="H42" s="89"/>
      <c r="I42" s="89"/>
      <c r="J42" s="89"/>
      <c r="K42" s="96" t="s">
        <v>106580</v>
      </c>
      <c r="L42" s="91" t="s">
        <v>113241</v>
      </c>
      <c r="M42" s="102" t="s">
        <v>113017</v>
      </c>
      <c r="N42" s="440">
        <v>45731</v>
      </c>
      <c r="O42" s="441" t="s">
        <v>113503</v>
      </c>
      <c r="P42" s="441" t="s">
        <v>113155</v>
      </c>
      <c r="Q42" s="441" t="s">
        <v>112999</v>
      </c>
      <c r="R42" s="95">
        <v>60000000</v>
      </c>
      <c r="S42" s="472"/>
      <c r="T42" s="95"/>
      <c r="U42" s="96"/>
      <c r="V42" s="97"/>
      <c r="W42" s="96" t="s">
        <v>113019</v>
      </c>
    </row>
    <row r="43" spans="2:23" x14ac:dyDescent="0.2">
      <c r="B43" s="72" t="s">
        <v>105516</v>
      </c>
      <c r="C43" s="72" t="s">
        <v>105573</v>
      </c>
      <c r="D43" s="72" t="s">
        <v>105573</v>
      </c>
      <c r="E43" s="72" t="s">
        <v>105520</v>
      </c>
      <c r="F43" s="72" t="s">
        <v>105535</v>
      </c>
      <c r="G43" s="72" t="s">
        <v>105553</v>
      </c>
      <c r="H43" s="72"/>
      <c r="I43" s="72"/>
      <c r="J43" s="415"/>
      <c r="K43" s="72"/>
      <c r="L43" s="73"/>
      <c r="M43" s="74" t="s">
        <v>106583</v>
      </c>
      <c r="N43" s="75"/>
      <c r="O43" s="75"/>
      <c r="P43" s="76"/>
      <c r="Q43" s="76"/>
      <c r="R43" s="77">
        <f>SUM(R44:R45)</f>
        <v>320000000</v>
      </c>
      <c r="S43" s="470">
        <v>300000000</v>
      </c>
      <c r="T43" s="77"/>
      <c r="U43" s="78"/>
      <c r="V43" s="78"/>
      <c r="W43" s="72"/>
    </row>
    <row r="44" spans="2:23" ht="45" x14ac:dyDescent="0.2">
      <c r="B44" s="88"/>
      <c r="C44" s="89"/>
      <c r="D44" s="89"/>
      <c r="E44" s="89"/>
      <c r="F44" s="89"/>
      <c r="G44" s="89"/>
      <c r="H44" s="89"/>
      <c r="I44" s="89"/>
      <c r="J44" s="89"/>
      <c r="K44" s="96" t="s">
        <v>106582</v>
      </c>
      <c r="L44" s="91" t="s">
        <v>113020</v>
      </c>
      <c r="M44" s="102" t="s">
        <v>113021</v>
      </c>
      <c r="N44" s="93">
        <v>45708</v>
      </c>
      <c r="O44" s="93" t="s">
        <v>113001</v>
      </c>
      <c r="P44" s="94" t="s">
        <v>113004</v>
      </c>
      <c r="Q44" s="94" t="s">
        <v>113038</v>
      </c>
      <c r="R44" s="95">
        <v>100000000</v>
      </c>
      <c r="S44" s="472"/>
      <c r="T44" s="95"/>
      <c r="U44" s="96"/>
      <c r="V44" s="97"/>
      <c r="W44" s="398" t="s">
        <v>113012</v>
      </c>
    </row>
    <row r="45" spans="2:23" ht="150" x14ac:dyDescent="0.2">
      <c r="B45" s="88"/>
      <c r="C45" s="89"/>
      <c r="D45" s="89"/>
      <c r="E45" s="89"/>
      <c r="F45" s="89"/>
      <c r="G45" s="89"/>
      <c r="H45" s="89"/>
      <c r="I45" s="89"/>
      <c r="J45" s="89"/>
      <c r="K45" s="96" t="s">
        <v>106582</v>
      </c>
      <c r="L45" s="91" t="s">
        <v>113241</v>
      </c>
      <c r="M45" s="102" t="s">
        <v>113023</v>
      </c>
      <c r="N45" s="440">
        <v>45731</v>
      </c>
      <c r="O45" s="441" t="s">
        <v>113503</v>
      </c>
      <c r="P45" s="441" t="s">
        <v>113155</v>
      </c>
      <c r="Q45" s="441" t="s">
        <v>112999</v>
      </c>
      <c r="R45" s="95">
        <v>220000000</v>
      </c>
      <c r="S45" s="472"/>
      <c r="T45" s="95"/>
      <c r="U45" s="96"/>
      <c r="V45" s="97"/>
      <c r="W45" s="96" t="s">
        <v>113019</v>
      </c>
    </row>
    <row r="46" spans="2:23" ht="30" x14ac:dyDescent="0.2">
      <c r="B46" s="63" t="s">
        <v>105516</v>
      </c>
      <c r="C46" s="63" t="s">
        <v>105573</v>
      </c>
      <c r="D46" s="63" t="s">
        <v>105573</v>
      </c>
      <c r="E46" s="63" t="s">
        <v>105520</v>
      </c>
      <c r="F46" s="63" t="s">
        <v>105538</v>
      </c>
      <c r="G46" s="63"/>
      <c r="H46" s="63"/>
      <c r="I46" s="63"/>
      <c r="J46" s="414"/>
      <c r="K46" s="254"/>
      <c r="L46" s="65"/>
      <c r="M46" s="66" t="s">
        <v>106589</v>
      </c>
      <c r="N46" s="67"/>
      <c r="O46" s="67"/>
      <c r="P46" s="68"/>
      <c r="Q46" s="68"/>
      <c r="R46" s="69">
        <f>+R47+R53+R58+R63+R71</f>
        <v>456100000</v>
      </c>
      <c r="S46" s="469">
        <f>S47+S53+S58+S63+S71</f>
        <v>331800000</v>
      </c>
      <c r="T46" s="69"/>
      <c r="U46" s="70"/>
      <c r="V46" s="70"/>
      <c r="W46" s="254"/>
    </row>
    <row r="47" spans="2:23" ht="30" x14ac:dyDescent="0.2">
      <c r="B47" s="72" t="s">
        <v>105516</v>
      </c>
      <c r="C47" s="72" t="s">
        <v>105573</v>
      </c>
      <c r="D47" s="72" t="s">
        <v>105573</v>
      </c>
      <c r="E47" s="72" t="s">
        <v>105520</v>
      </c>
      <c r="F47" s="72" t="s">
        <v>105538</v>
      </c>
      <c r="G47" s="72" t="s">
        <v>105535</v>
      </c>
      <c r="H47" s="72"/>
      <c r="I47" s="72"/>
      <c r="J47" s="415"/>
      <c r="K47" s="72"/>
      <c r="L47" s="73"/>
      <c r="M47" s="305" t="s">
        <v>113232</v>
      </c>
      <c r="N47" s="75"/>
      <c r="O47" s="75"/>
      <c r="P47" s="76"/>
      <c r="Q47" s="76"/>
      <c r="R47" s="77">
        <f>+R48+R51</f>
        <v>65200000</v>
      </c>
      <c r="S47" s="470">
        <f>S48+S51</f>
        <v>67000000</v>
      </c>
      <c r="T47" s="77"/>
      <c r="U47" s="78"/>
      <c r="V47" s="78"/>
      <c r="W47" s="72"/>
    </row>
    <row r="48" spans="2:23" x14ac:dyDescent="0.2">
      <c r="B48" s="80" t="s">
        <v>105516</v>
      </c>
      <c r="C48" s="80" t="s">
        <v>105573</v>
      </c>
      <c r="D48" s="80" t="s">
        <v>105573</v>
      </c>
      <c r="E48" s="80" t="s">
        <v>105520</v>
      </c>
      <c r="F48" s="80" t="s">
        <v>105538</v>
      </c>
      <c r="G48" s="80" t="s">
        <v>105535</v>
      </c>
      <c r="H48" s="80" t="s">
        <v>105520</v>
      </c>
      <c r="I48" s="80"/>
      <c r="J48" s="416"/>
      <c r="K48" s="80"/>
      <c r="L48" s="436"/>
      <c r="M48" s="82" t="s">
        <v>106595</v>
      </c>
      <c r="N48" s="83"/>
      <c r="O48" s="83"/>
      <c r="P48" s="84"/>
      <c r="Q48" s="84"/>
      <c r="R48" s="85">
        <f>SUM(R49:R50)</f>
        <v>65200000</v>
      </c>
      <c r="S48" s="471">
        <v>61500000</v>
      </c>
      <c r="T48" s="85"/>
      <c r="U48" s="86"/>
      <c r="V48" s="86"/>
      <c r="W48" s="341"/>
    </row>
    <row r="49" spans="2:23" ht="45" x14ac:dyDescent="0.2">
      <c r="B49" s="88"/>
      <c r="C49" s="89"/>
      <c r="D49" s="89"/>
      <c r="E49" s="89"/>
      <c r="F49" s="89"/>
      <c r="G49" s="89"/>
      <c r="H49" s="89"/>
      <c r="I49" s="89"/>
      <c r="J49" s="89"/>
      <c r="K49" s="96" t="s">
        <v>106592</v>
      </c>
      <c r="L49" s="91" t="s">
        <v>113024</v>
      </c>
      <c r="M49" s="102" t="s">
        <v>113025</v>
      </c>
      <c r="N49" s="93">
        <v>45731</v>
      </c>
      <c r="O49" s="93" t="s">
        <v>113006</v>
      </c>
      <c r="P49" s="94" t="s">
        <v>113040</v>
      </c>
      <c r="Q49" s="94" t="s">
        <v>113008</v>
      </c>
      <c r="R49" s="95">
        <v>17500000</v>
      </c>
      <c r="S49" s="472"/>
      <c r="T49" s="95"/>
      <c r="U49" s="96"/>
      <c r="V49" s="97"/>
      <c r="W49" s="398" t="s">
        <v>113012</v>
      </c>
    </row>
    <row r="50" spans="2:23" ht="180" x14ac:dyDescent="0.2">
      <c r="B50" s="88"/>
      <c r="C50" s="89"/>
      <c r="D50" s="89"/>
      <c r="E50" s="89"/>
      <c r="F50" s="89"/>
      <c r="G50" s="89"/>
      <c r="H50" s="89"/>
      <c r="I50" s="89"/>
      <c r="J50" s="89"/>
      <c r="K50" s="96" t="s">
        <v>106592</v>
      </c>
      <c r="L50" s="91" t="s">
        <v>113026</v>
      </c>
      <c r="M50" s="92" t="s">
        <v>113522</v>
      </c>
      <c r="N50" s="93">
        <v>45716</v>
      </c>
      <c r="O50" s="93" t="s">
        <v>113001</v>
      </c>
      <c r="P50" s="94" t="s">
        <v>113045</v>
      </c>
      <c r="Q50" s="94" t="s">
        <v>113008</v>
      </c>
      <c r="R50" s="118">
        <f>CEILING((45000000*1.06),10000)</f>
        <v>47700000</v>
      </c>
      <c r="S50" s="472"/>
      <c r="T50" s="95"/>
      <c r="U50" s="96" t="s">
        <v>106081</v>
      </c>
      <c r="V50" s="97"/>
      <c r="W50" s="96" t="s">
        <v>113029</v>
      </c>
    </row>
    <row r="51" spans="2:23" ht="30" x14ac:dyDescent="0.2">
      <c r="B51" s="80" t="s">
        <v>105516</v>
      </c>
      <c r="C51" s="80" t="s">
        <v>105573</v>
      </c>
      <c r="D51" s="80" t="s">
        <v>105573</v>
      </c>
      <c r="E51" s="80" t="s">
        <v>105520</v>
      </c>
      <c r="F51" s="80" t="s">
        <v>105538</v>
      </c>
      <c r="G51" s="80" t="s">
        <v>105535</v>
      </c>
      <c r="H51" s="80" t="s">
        <v>105917</v>
      </c>
      <c r="I51" s="80"/>
      <c r="J51" s="416"/>
      <c r="K51" s="80"/>
      <c r="L51" s="436"/>
      <c r="M51" s="304" t="s">
        <v>106601</v>
      </c>
      <c r="N51" s="83"/>
      <c r="O51" s="83"/>
      <c r="P51" s="84"/>
      <c r="Q51" s="84"/>
      <c r="R51" s="85">
        <f>SUM(R52:R52)</f>
        <v>0</v>
      </c>
      <c r="S51" s="471">
        <v>5500000</v>
      </c>
      <c r="T51" s="85"/>
      <c r="U51" s="86"/>
      <c r="V51" s="86"/>
      <c r="W51" s="341"/>
    </row>
    <row r="52" spans="2:23" x14ac:dyDescent="0.2">
      <c r="B52" s="88"/>
      <c r="C52" s="89"/>
      <c r="D52" s="89"/>
      <c r="E52" s="89"/>
      <c r="F52" s="89"/>
      <c r="G52" s="89"/>
      <c r="H52" s="89"/>
      <c r="I52" s="89"/>
      <c r="J52" s="89"/>
      <c r="K52" s="96" t="s">
        <v>106592</v>
      </c>
      <c r="L52" s="55"/>
      <c r="M52" s="92"/>
      <c r="N52" s="93"/>
      <c r="O52" s="93"/>
      <c r="P52" s="93"/>
      <c r="Q52" s="93"/>
      <c r="R52" s="95"/>
      <c r="S52" s="472"/>
      <c r="T52" s="95"/>
      <c r="U52" s="96"/>
      <c r="V52" s="97"/>
      <c r="W52" s="96"/>
    </row>
    <row r="53" spans="2:23" ht="30" x14ac:dyDescent="0.2">
      <c r="B53" s="72" t="s">
        <v>105516</v>
      </c>
      <c r="C53" s="72" t="s">
        <v>105573</v>
      </c>
      <c r="D53" s="72" t="s">
        <v>105573</v>
      </c>
      <c r="E53" s="72" t="s">
        <v>105520</v>
      </c>
      <c r="F53" s="72" t="s">
        <v>105538</v>
      </c>
      <c r="G53" s="72" t="s">
        <v>105538</v>
      </c>
      <c r="H53" s="72"/>
      <c r="I53" s="72"/>
      <c r="J53" s="415"/>
      <c r="K53" s="72"/>
      <c r="L53" s="73"/>
      <c r="M53" s="305" t="s">
        <v>106611</v>
      </c>
      <c r="N53" s="75"/>
      <c r="O53" s="75"/>
      <c r="P53" s="76"/>
      <c r="Q53" s="76"/>
      <c r="R53" s="77">
        <f>+R54+R56</f>
        <v>40000000</v>
      </c>
      <c r="S53" s="470">
        <f>S54+S56</f>
        <v>50000000</v>
      </c>
      <c r="T53" s="77"/>
      <c r="U53" s="78"/>
      <c r="V53" s="78"/>
      <c r="W53" s="72"/>
    </row>
    <row r="54" spans="2:23" ht="81.75" customHeight="1" x14ac:dyDescent="0.2">
      <c r="B54" s="80" t="s">
        <v>105516</v>
      </c>
      <c r="C54" s="80" t="s">
        <v>105573</v>
      </c>
      <c r="D54" s="80" t="s">
        <v>105573</v>
      </c>
      <c r="E54" s="80" t="s">
        <v>105520</v>
      </c>
      <c r="F54" s="80" t="s">
        <v>105538</v>
      </c>
      <c r="G54" s="80" t="s">
        <v>105538</v>
      </c>
      <c r="H54" s="80" t="s">
        <v>105675</v>
      </c>
      <c r="I54" s="80"/>
      <c r="J54" s="416"/>
      <c r="K54" s="80"/>
      <c r="L54" s="436"/>
      <c r="M54" s="304" t="s">
        <v>106617</v>
      </c>
      <c r="N54" s="83"/>
      <c r="O54" s="83"/>
      <c r="P54" s="84"/>
      <c r="Q54" s="84"/>
      <c r="R54" s="85">
        <f>+R55</f>
        <v>10000000</v>
      </c>
      <c r="S54" s="471">
        <v>10000000</v>
      </c>
      <c r="T54" s="85"/>
      <c r="U54" s="86"/>
      <c r="V54" s="86"/>
      <c r="W54" s="341"/>
    </row>
    <row r="55" spans="2:23" ht="30" x14ac:dyDescent="0.2">
      <c r="B55" s="88"/>
      <c r="C55" s="89"/>
      <c r="D55" s="89"/>
      <c r="E55" s="89"/>
      <c r="F55" s="89"/>
      <c r="G55" s="89"/>
      <c r="H55" s="89"/>
      <c r="I55" s="89"/>
      <c r="J55" s="89"/>
      <c r="K55" s="96" t="s">
        <v>106610</v>
      </c>
      <c r="L55" s="55">
        <v>15121500</v>
      </c>
      <c r="M55" s="92" t="s">
        <v>113033</v>
      </c>
      <c r="N55" s="93">
        <v>45685</v>
      </c>
      <c r="O55" s="93" t="s">
        <v>113037</v>
      </c>
      <c r="P55" s="94" t="s">
        <v>113022</v>
      </c>
      <c r="Q55" s="94" t="s">
        <v>113034</v>
      </c>
      <c r="R55" s="95">
        <v>10000000</v>
      </c>
      <c r="S55" s="472"/>
      <c r="T55" s="95"/>
      <c r="U55" s="96"/>
      <c r="V55" s="97"/>
      <c r="W55" s="96" t="s">
        <v>113035</v>
      </c>
    </row>
    <row r="56" spans="2:23" ht="30" x14ac:dyDescent="0.2">
      <c r="B56" s="80" t="s">
        <v>105516</v>
      </c>
      <c r="C56" s="80" t="s">
        <v>105573</v>
      </c>
      <c r="D56" s="80" t="s">
        <v>105573</v>
      </c>
      <c r="E56" s="80" t="s">
        <v>105520</v>
      </c>
      <c r="F56" s="80" t="s">
        <v>105538</v>
      </c>
      <c r="G56" s="80" t="s">
        <v>105538</v>
      </c>
      <c r="H56" s="80" t="s">
        <v>105917</v>
      </c>
      <c r="I56" s="80"/>
      <c r="J56" s="416"/>
      <c r="K56" s="80"/>
      <c r="L56" s="436"/>
      <c r="M56" s="304" t="s">
        <v>106619</v>
      </c>
      <c r="N56" s="83"/>
      <c r="O56" s="83"/>
      <c r="P56" s="84"/>
      <c r="Q56" s="84"/>
      <c r="R56" s="85">
        <f>+R57</f>
        <v>30000000</v>
      </c>
      <c r="S56" s="471">
        <v>40000000</v>
      </c>
      <c r="T56" s="85"/>
      <c r="U56" s="86"/>
      <c r="V56" s="86"/>
      <c r="W56" s="341"/>
    </row>
    <row r="57" spans="2:23" ht="30" x14ac:dyDescent="0.2">
      <c r="B57" s="88"/>
      <c r="C57" s="89"/>
      <c r="D57" s="89"/>
      <c r="E57" s="89"/>
      <c r="F57" s="89"/>
      <c r="G57" s="89"/>
      <c r="H57" s="89"/>
      <c r="I57" s="89"/>
      <c r="J57" s="89"/>
      <c r="K57" s="96" t="s">
        <v>106610</v>
      </c>
      <c r="L57" s="55">
        <v>15121500</v>
      </c>
      <c r="M57" s="100" t="s">
        <v>113036</v>
      </c>
      <c r="N57" s="93">
        <v>45748</v>
      </c>
      <c r="O57" s="93" t="s">
        <v>113087</v>
      </c>
      <c r="P57" s="94" t="s">
        <v>113028</v>
      </c>
      <c r="Q57" s="94" t="s">
        <v>113038</v>
      </c>
      <c r="R57" s="95">
        <v>30000000</v>
      </c>
      <c r="S57" s="472"/>
      <c r="T57" s="95"/>
      <c r="U57" s="96"/>
      <c r="V57" s="97"/>
      <c r="W57" s="96" t="s">
        <v>113035</v>
      </c>
    </row>
    <row r="58" spans="2:23" ht="30" x14ac:dyDescent="0.2">
      <c r="B58" s="72" t="s">
        <v>105516</v>
      </c>
      <c r="C58" s="72" t="s">
        <v>105573</v>
      </c>
      <c r="D58" s="72" t="s">
        <v>105573</v>
      </c>
      <c r="E58" s="72" t="s">
        <v>105520</v>
      </c>
      <c r="F58" s="72" t="s">
        <v>105538</v>
      </c>
      <c r="G58" s="72" t="s">
        <v>105544</v>
      </c>
      <c r="H58" s="72"/>
      <c r="I58" s="72"/>
      <c r="J58" s="415"/>
      <c r="K58" s="72"/>
      <c r="L58" s="73"/>
      <c r="M58" s="305" t="s">
        <v>106645</v>
      </c>
      <c r="N58" s="75"/>
      <c r="O58" s="75"/>
      <c r="P58" s="76"/>
      <c r="Q58" s="76"/>
      <c r="R58" s="77">
        <f>+R59+R61</f>
        <v>84900000</v>
      </c>
      <c r="S58" s="470">
        <f>S59+S61</f>
        <v>80000000</v>
      </c>
      <c r="T58" s="77"/>
      <c r="U58" s="78"/>
      <c r="V58" s="78"/>
      <c r="W58" s="72"/>
    </row>
    <row r="59" spans="2:23" ht="30" x14ac:dyDescent="0.2">
      <c r="B59" s="80" t="s">
        <v>105516</v>
      </c>
      <c r="C59" s="80" t="s">
        <v>105573</v>
      </c>
      <c r="D59" s="80" t="s">
        <v>105573</v>
      </c>
      <c r="E59" s="80" t="s">
        <v>105520</v>
      </c>
      <c r="F59" s="80" t="s">
        <v>105538</v>
      </c>
      <c r="G59" s="80" t="s">
        <v>105544</v>
      </c>
      <c r="H59" s="81" t="s">
        <v>105520</v>
      </c>
      <c r="I59" s="80"/>
      <c r="J59" s="416"/>
      <c r="K59" s="80"/>
      <c r="L59" s="436"/>
      <c r="M59" s="82" t="s">
        <v>106647</v>
      </c>
      <c r="N59" s="83"/>
      <c r="O59" s="83"/>
      <c r="P59" s="84"/>
      <c r="Q59" s="84"/>
      <c r="R59" s="85">
        <f>+R60</f>
        <v>68900000</v>
      </c>
      <c r="S59" s="471">
        <v>65000000</v>
      </c>
      <c r="T59" s="85"/>
      <c r="U59" s="86"/>
      <c r="V59" s="86"/>
      <c r="W59" s="341"/>
    </row>
    <row r="60" spans="2:23" x14ac:dyDescent="0.2">
      <c r="B60" s="88"/>
      <c r="C60" s="89"/>
      <c r="D60" s="89"/>
      <c r="E60" s="89"/>
      <c r="F60" s="89"/>
      <c r="G60" s="89"/>
      <c r="H60" s="89"/>
      <c r="I60" s="89"/>
      <c r="J60" s="89"/>
      <c r="K60" s="96" t="s">
        <v>106644</v>
      </c>
      <c r="L60" s="91">
        <v>44103100</v>
      </c>
      <c r="M60" s="92" t="s">
        <v>113523</v>
      </c>
      <c r="N60" s="93">
        <v>45716</v>
      </c>
      <c r="O60" s="93" t="s">
        <v>113001</v>
      </c>
      <c r="P60" s="94" t="s">
        <v>113045</v>
      </c>
      <c r="Q60" s="94" t="s">
        <v>113008</v>
      </c>
      <c r="R60" s="118">
        <f>CEILING((65000000*1.06),10000)</f>
        <v>68900000</v>
      </c>
      <c r="S60" s="472"/>
      <c r="T60" s="95"/>
      <c r="U60" s="96" t="s">
        <v>106081</v>
      </c>
      <c r="V60" s="97"/>
      <c r="W60" s="96" t="s">
        <v>113029</v>
      </c>
    </row>
    <row r="61" spans="2:23" ht="30" x14ac:dyDescent="0.2">
      <c r="B61" s="80" t="s">
        <v>105516</v>
      </c>
      <c r="C61" s="80" t="s">
        <v>105573</v>
      </c>
      <c r="D61" s="80" t="s">
        <v>105573</v>
      </c>
      <c r="E61" s="80" t="s">
        <v>105520</v>
      </c>
      <c r="F61" s="80" t="s">
        <v>105538</v>
      </c>
      <c r="G61" s="80" t="s">
        <v>105544</v>
      </c>
      <c r="H61" s="80" t="s">
        <v>105675</v>
      </c>
      <c r="I61" s="80"/>
      <c r="J61" s="416"/>
      <c r="K61" s="80"/>
      <c r="L61" s="436"/>
      <c r="M61" s="82" t="s">
        <v>106651</v>
      </c>
      <c r="N61" s="83"/>
      <c r="O61" s="83"/>
      <c r="P61" s="84"/>
      <c r="Q61" s="84"/>
      <c r="R61" s="85">
        <f>+R62</f>
        <v>16000000</v>
      </c>
      <c r="S61" s="471">
        <v>15000000</v>
      </c>
      <c r="T61" s="85"/>
      <c r="U61" s="86"/>
      <c r="V61" s="86"/>
      <c r="W61" s="341"/>
    </row>
    <row r="62" spans="2:23" ht="30" x14ac:dyDescent="0.2">
      <c r="B62" s="88"/>
      <c r="C62" s="89"/>
      <c r="D62" s="89"/>
      <c r="E62" s="89"/>
      <c r="F62" s="89"/>
      <c r="G62" s="89"/>
      <c r="H62" s="89"/>
      <c r="I62" s="89"/>
      <c r="J62" s="89"/>
      <c r="K62" s="96" t="s">
        <v>106644</v>
      </c>
      <c r="L62" s="91" t="s">
        <v>113042</v>
      </c>
      <c r="M62" s="92" t="s">
        <v>113043</v>
      </c>
      <c r="N62" s="93">
        <v>45731</v>
      </c>
      <c r="O62" s="93" t="s">
        <v>113006</v>
      </c>
      <c r="P62" s="94" t="s">
        <v>113040</v>
      </c>
      <c r="Q62" s="94" t="s">
        <v>113008</v>
      </c>
      <c r="R62" s="95">
        <v>16000000</v>
      </c>
      <c r="S62" s="472"/>
      <c r="T62" s="95"/>
      <c r="U62" s="96"/>
      <c r="V62" s="97"/>
      <c r="W62" s="398" t="s">
        <v>113012</v>
      </c>
    </row>
    <row r="63" spans="2:23" x14ac:dyDescent="0.2">
      <c r="B63" s="72" t="s">
        <v>105516</v>
      </c>
      <c r="C63" s="72" t="s">
        <v>105573</v>
      </c>
      <c r="D63" s="72" t="s">
        <v>105573</v>
      </c>
      <c r="E63" s="72" t="s">
        <v>105520</v>
      </c>
      <c r="F63" s="72" t="s">
        <v>105538</v>
      </c>
      <c r="G63" s="72" t="s">
        <v>105547</v>
      </c>
      <c r="H63" s="72"/>
      <c r="I63" s="72"/>
      <c r="J63" s="415"/>
      <c r="K63" s="72"/>
      <c r="L63" s="73"/>
      <c r="M63" s="74" t="s">
        <v>106657</v>
      </c>
      <c r="N63" s="75"/>
      <c r="O63" s="75"/>
      <c r="P63" s="76"/>
      <c r="Q63" s="76"/>
      <c r="R63" s="77">
        <f>+R64+R66+R68</f>
        <v>231000000</v>
      </c>
      <c r="S63" s="470">
        <f>S64+S66+S68</f>
        <v>105000000</v>
      </c>
      <c r="T63" s="77"/>
      <c r="U63" s="78"/>
      <c r="V63" s="78"/>
      <c r="W63" s="72"/>
    </row>
    <row r="64" spans="2:23" x14ac:dyDescent="0.2">
      <c r="B64" s="80" t="s">
        <v>105516</v>
      </c>
      <c r="C64" s="80" t="s">
        <v>105573</v>
      </c>
      <c r="D64" s="80" t="s">
        <v>105573</v>
      </c>
      <c r="E64" s="80" t="s">
        <v>105520</v>
      </c>
      <c r="F64" s="80" t="s">
        <v>105538</v>
      </c>
      <c r="G64" s="80" t="s">
        <v>105547</v>
      </c>
      <c r="H64" s="80" t="s">
        <v>105520</v>
      </c>
      <c r="I64" s="80"/>
      <c r="J64" s="416"/>
      <c r="K64" s="80"/>
      <c r="L64" s="436"/>
      <c r="M64" s="82" t="s">
        <v>106659</v>
      </c>
      <c r="N64" s="83"/>
      <c r="O64" s="83"/>
      <c r="P64" s="84"/>
      <c r="Q64" s="84"/>
      <c r="R64" s="85">
        <f>+R65</f>
        <v>20000000</v>
      </c>
      <c r="S64" s="471">
        <v>10000000</v>
      </c>
      <c r="T64" s="85"/>
      <c r="U64" s="86"/>
      <c r="V64" s="86"/>
      <c r="W64" s="341"/>
    </row>
    <row r="65" spans="2:23" ht="30" x14ac:dyDescent="0.2">
      <c r="B65" s="88"/>
      <c r="C65" s="89"/>
      <c r="D65" s="89"/>
      <c r="E65" s="89"/>
      <c r="F65" s="89"/>
      <c r="G65" s="89"/>
      <c r="H65" s="89"/>
      <c r="I65" s="89"/>
      <c r="J65" s="89"/>
      <c r="K65" s="96" t="s">
        <v>106656</v>
      </c>
      <c r="L65" s="55">
        <v>25172500</v>
      </c>
      <c r="M65" s="92" t="s">
        <v>113044</v>
      </c>
      <c r="N65" s="93">
        <v>45703</v>
      </c>
      <c r="O65" s="93" t="s">
        <v>113001</v>
      </c>
      <c r="P65" s="94" t="s">
        <v>113201</v>
      </c>
      <c r="Q65" s="94" t="s">
        <v>113052</v>
      </c>
      <c r="R65" s="95">
        <v>20000000</v>
      </c>
      <c r="S65" s="472"/>
      <c r="T65" s="95"/>
      <c r="U65" s="96"/>
      <c r="V65" s="97"/>
      <c r="W65" s="96" t="s">
        <v>113035</v>
      </c>
    </row>
    <row r="66" spans="2:23" x14ac:dyDescent="0.2">
      <c r="B66" s="80" t="s">
        <v>105516</v>
      </c>
      <c r="C66" s="80" t="s">
        <v>105573</v>
      </c>
      <c r="D66" s="80" t="s">
        <v>105573</v>
      </c>
      <c r="E66" s="80" t="s">
        <v>105520</v>
      </c>
      <c r="F66" s="80" t="s">
        <v>105538</v>
      </c>
      <c r="G66" s="80" t="s">
        <v>105547</v>
      </c>
      <c r="H66" s="80" t="s">
        <v>105573</v>
      </c>
      <c r="I66" s="80"/>
      <c r="J66" s="416"/>
      <c r="K66" s="80"/>
      <c r="L66" s="436"/>
      <c r="M66" s="82" t="s">
        <v>106661</v>
      </c>
      <c r="N66" s="83"/>
      <c r="O66" s="83"/>
      <c r="P66" s="84"/>
      <c r="Q66" s="84"/>
      <c r="R66" s="85">
        <f>+R67</f>
        <v>100000000</v>
      </c>
      <c r="S66" s="471">
        <v>85000000</v>
      </c>
      <c r="T66" s="85"/>
      <c r="U66" s="86"/>
      <c r="V66" s="86"/>
      <c r="W66" s="341"/>
    </row>
    <row r="67" spans="2:23" ht="150" x14ac:dyDescent="0.2">
      <c r="B67" s="88"/>
      <c r="C67" s="89"/>
      <c r="D67" s="89"/>
      <c r="E67" s="89"/>
      <c r="F67" s="89"/>
      <c r="G67" s="89"/>
      <c r="H67" s="89"/>
      <c r="I67" s="89"/>
      <c r="J67" s="89"/>
      <c r="K67" s="96" t="s">
        <v>106656</v>
      </c>
      <c r="L67" s="91" t="s">
        <v>113241</v>
      </c>
      <c r="M67" s="102" t="s">
        <v>113046</v>
      </c>
      <c r="N67" s="440">
        <v>45731</v>
      </c>
      <c r="O67" s="441" t="s">
        <v>113503</v>
      </c>
      <c r="P67" s="441" t="s">
        <v>113155</v>
      </c>
      <c r="Q67" s="441" t="s">
        <v>112999</v>
      </c>
      <c r="R67" s="95">
        <v>100000000</v>
      </c>
      <c r="S67" s="472"/>
      <c r="T67" s="95"/>
      <c r="U67" s="96"/>
      <c r="V67" s="97"/>
      <c r="W67" s="96" t="s">
        <v>113019</v>
      </c>
    </row>
    <row r="68" spans="2:23" x14ac:dyDescent="0.2">
      <c r="B68" s="80" t="s">
        <v>105516</v>
      </c>
      <c r="C68" s="80" t="s">
        <v>105573</v>
      </c>
      <c r="D68" s="80" t="s">
        <v>105573</v>
      </c>
      <c r="E68" s="80" t="s">
        <v>105520</v>
      </c>
      <c r="F68" s="80" t="s">
        <v>105538</v>
      </c>
      <c r="G68" s="80" t="s">
        <v>105547</v>
      </c>
      <c r="H68" s="80" t="s">
        <v>106109</v>
      </c>
      <c r="I68" s="80"/>
      <c r="J68" s="416"/>
      <c r="K68" s="80"/>
      <c r="L68" s="108"/>
      <c r="M68" s="109" t="s">
        <v>106667</v>
      </c>
      <c r="N68" s="110"/>
      <c r="O68" s="110"/>
      <c r="P68" s="111"/>
      <c r="Q68" s="111"/>
      <c r="R68" s="112">
        <f>SUM(R69:R70)</f>
        <v>111000000</v>
      </c>
      <c r="S68" s="473">
        <v>10000000</v>
      </c>
      <c r="T68" s="112"/>
      <c r="U68" s="113"/>
      <c r="V68" s="113"/>
      <c r="W68" s="122"/>
    </row>
    <row r="69" spans="2:23" ht="60" x14ac:dyDescent="0.2">
      <c r="B69" s="88"/>
      <c r="C69" s="89"/>
      <c r="D69" s="89"/>
      <c r="E69" s="89"/>
      <c r="F69" s="89"/>
      <c r="G69" s="89"/>
      <c r="H69" s="89"/>
      <c r="I69" s="89"/>
      <c r="J69" s="89"/>
      <c r="K69" s="96" t="s">
        <v>106656</v>
      </c>
      <c r="L69" s="91" t="s">
        <v>113047</v>
      </c>
      <c r="M69" s="92" t="s">
        <v>113048</v>
      </c>
      <c r="N69" s="93">
        <v>45731</v>
      </c>
      <c r="O69" s="93" t="s">
        <v>113006</v>
      </c>
      <c r="P69" s="94" t="s">
        <v>113040</v>
      </c>
      <c r="Q69" s="94" t="s">
        <v>113008</v>
      </c>
      <c r="R69" s="95">
        <v>11000000</v>
      </c>
      <c r="S69" s="472"/>
      <c r="T69" s="95"/>
      <c r="U69" s="96"/>
      <c r="V69" s="97"/>
      <c r="W69" s="398" t="s">
        <v>113012</v>
      </c>
    </row>
    <row r="70" spans="2:23" ht="150" x14ac:dyDescent="0.2">
      <c r="B70" s="88"/>
      <c r="C70" s="89"/>
      <c r="D70" s="89"/>
      <c r="E70" s="89"/>
      <c r="F70" s="89"/>
      <c r="G70" s="89"/>
      <c r="H70" s="89"/>
      <c r="I70" s="89"/>
      <c r="J70" s="89"/>
      <c r="K70" s="96" t="s">
        <v>106656</v>
      </c>
      <c r="L70" s="181" t="s">
        <v>113382</v>
      </c>
      <c r="M70" s="102" t="s">
        <v>113506</v>
      </c>
      <c r="N70" s="93">
        <v>45689</v>
      </c>
      <c r="O70" s="93" t="s">
        <v>113001</v>
      </c>
      <c r="P70" s="94" t="s">
        <v>113040</v>
      </c>
      <c r="Q70" s="94" t="s">
        <v>113052</v>
      </c>
      <c r="R70" s="95">
        <v>100000000</v>
      </c>
      <c r="S70" s="472"/>
      <c r="T70" s="95"/>
      <c r="U70" s="96"/>
      <c r="V70" s="97"/>
      <c r="W70" s="96" t="s">
        <v>113019</v>
      </c>
    </row>
    <row r="71" spans="2:23" x14ac:dyDescent="0.2">
      <c r="B71" s="72" t="s">
        <v>105516</v>
      </c>
      <c r="C71" s="72" t="s">
        <v>105573</v>
      </c>
      <c r="D71" s="72" t="s">
        <v>105573</v>
      </c>
      <c r="E71" s="72" t="s">
        <v>105520</v>
      </c>
      <c r="F71" s="72" t="s">
        <v>105538</v>
      </c>
      <c r="G71" s="72" t="s">
        <v>105553</v>
      </c>
      <c r="H71" s="72"/>
      <c r="I71" s="72"/>
      <c r="J71" s="415"/>
      <c r="K71" s="72"/>
      <c r="L71" s="73"/>
      <c r="M71" s="74" t="s">
        <v>106685</v>
      </c>
      <c r="N71" s="75"/>
      <c r="O71" s="75"/>
      <c r="P71" s="76"/>
      <c r="Q71" s="76"/>
      <c r="R71" s="77">
        <f>R72+R74</f>
        <v>35000000</v>
      </c>
      <c r="S71" s="470">
        <f>S74</f>
        <v>29800000</v>
      </c>
      <c r="T71" s="77"/>
      <c r="U71" s="78"/>
      <c r="V71" s="78"/>
      <c r="W71" s="72"/>
    </row>
    <row r="72" spans="2:23" s="14" customFormat="1" x14ac:dyDescent="0.2">
      <c r="B72" s="341" t="s">
        <v>105516</v>
      </c>
      <c r="C72" s="341" t="s">
        <v>105573</v>
      </c>
      <c r="D72" s="341" t="s">
        <v>105573</v>
      </c>
      <c r="E72" s="341" t="s">
        <v>105520</v>
      </c>
      <c r="F72" s="341" t="s">
        <v>105538</v>
      </c>
      <c r="G72" s="80" t="s">
        <v>105553</v>
      </c>
      <c r="H72" s="81" t="s">
        <v>105573</v>
      </c>
      <c r="I72" s="341"/>
      <c r="J72" s="341"/>
      <c r="K72" s="340"/>
      <c r="L72" s="340"/>
      <c r="M72" s="303" t="s">
        <v>106210</v>
      </c>
      <c r="N72" s="83"/>
      <c r="O72" s="442"/>
      <c r="P72" s="442"/>
      <c r="Q72" s="443"/>
      <c r="R72" s="443">
        <f>+R73</f>
        <v>35000000</v>
      </c>
      <c r="S72" s="471">
        <v>29800000</v>
      </c>
      <c r="T72" s="85"/>
      <c r="U72" s="86"/>
      <c r="V72" s="86"/>
      <c r="W72" s="80"/>
    </row>
    <row r="73" spans="2:23" s="21" customFormat="1" ht="30" x14ac:dyDescent="0.25">
      <c r="B73" s="88"/>
      <c r="C73" s="335"/>
      <c r="D73" s="335"/>
      <c r="E73" s="335"/>
      <c r="F73" s="335"/>
      <c r="G73" s="335"/>
      <c r="H73" s="335"/>
      <c r="I73" s="335"/>
      <c r="J73" s="90"/>
      <c r="K73" s="90" t="s">
        <v>106684</v>
      </c>
      <c r="L73" s="55"/>
      <c r="M73" s="92" t="s">
        <v>113507</v>
      </c>
      <c r="N73" s="93">
        <v>45684</v>
      </c>
      <c r="O73" s="441" t="s">
        <v>113037</v>
      </c>
      <c r="P73" s="441" t="s">
        <v>113045</v>
      </c>
      <c r="Q73" s="95" t="s">
        <v>113243</v>
      </c>
      <c r="R73" s="95">
        <v>35000000</v>
      </c>
      <c r="S73" s="472"/>
      <c r="T73" s="95"/>
      <c r="U73" s="96"/>
      <c r="V73" s="98"/>
      <c r="W73" s="96" t="s">
        <v>113019</v>
      </c>
    </row>
    <row r="74" spans="2:23" x14ac:dyDescent="0.2">
      <c r="B74" s="122" t="s">
        <v>105516</v>
      </c>
      <c r="C74" s="122" t="s">
        <v>105573</v>
      </c>
      <c r="D74" s="122" t="s">
        <v>105573</v>
      </c>
      <c r="E74" s="122" t="s">
        <v>105520</v>
      </c>
      <c r="F74" s="122" t="s">
        <v>105538</v>
      </c>
      <c r="G74" s="80" t="s">
        <v>105553</v>
      </c>
      <c r="H74" s="80" t="s">
        <v>106109</v>
      </c>
      <c r="I74" s="122"/>
      <c r="J74" s="418"/>
      <c r="K74" s="122"/>
      <c r="L74" s="108"/>
      <c r="M74" s="109" t="s">
        <v>106701</v>
      </c>
      <c r="N74" s="110"/>
      <c r="O74" s="110"/>
      <c r="P74" s="111"/>
      <c r="Q74" s="111"/>
      <c r="R74" s="112">
        <f>+R75</f>
        <v>0</v>
      </c>
      <c r="S74" s="473">
        <v>29800000</v>
      </c>
      <c r="T74" s="112"/>
      <c r="U74" s="113"/>
      <c r="V74" s="113"/>
      <c r="W74" s="122"/>
    </row>
    <row r="75" spans="2:23" s="123" customFormat="1" x14ac:dyDescent="0.25">
      <c r="B75" s="88"/>
      <c r="C75" s="89"/>
      <c r="D75" s="89"/>
      <c r="E75" s="89"/>
      <c r="F75" s="89"/>
      <c r="G75" s="89"/>
      <c r="H75" s="89"/>
      <c r="I75" s="89"/>
      <c r="J75" s="89"/>
      <c r="K75" s="96" t="s">
        <v>106684</v>
      </c>
      <c r="L75" s="55"/>
      <c r="M75" s="92"/>
      <c r="N75" s="93"/>
      <c r="O75" s="93"/>
      <c r="P75" s="93"/>
      <c r="Q75" s="93"/>
      <c r="R75" s="95"/>
      <c r="S75" s="472"/>
      <c r="T75" s="95"/>
      <c r="U75" s="96"/>
      <c r="V75" s="98"/>
      <c r="W75" s="96"/>
    </row>
    <row r="76" spans="2:23" x14ac:dyDescent="0.2">
      <c r="B76" s="63" t="s">
        <v>105516</v>
      </c>
      <c r="C76" s="63" t="s">
        <v>105573</v>
      </c>
      <c r="D76" s="63" t="s">
        <v>105573</v>
      </c>
      <c r="E76" s="63" t="s">
        <v>105520</v>
      </c>
      <c r="F76" s="63" t="s">
        <v>105541</v>
      </c>
      <c r="G76" s="63"/>
      <c r="H76" s="63"/>
      <c r="I76" s="63"/>
      <c r="J76" s="414"/>
      <c r="K76" s="254"/>
      <c r="L76" s="65"/>
      <c r="M76" s="66" t="s">
        <v>106705</v>
      </c>
      <c r="N76" s="67"/>
      <c r="O76" s="67"/>
      <c r="P76" s="68"/>
      <c r="Q76" s="68"/>
      <c r="R76" s="69">
        <f>+R79+R82+R86+R93+R77</f>
        <v>352000000</v>
      </c>
      <c r="S76" s="469">
        <f>S77+S79+S82+S86+S93</f>
        <v>425963140</v>
      </c>
      <c r="T76" s="69"/>
      <c r="U76" s="70"/>
      <c r="V76" s="70"/>
      <c r="W76" s="254"/>
    </row>
    <row r="77" spans="2:23" ht="30" x14ac:dyDescent="0.2">
      <c r="B77" s="72" t="s">
        <v>105516</v>
      </c>
      <c r="C77" s="72" t="s">
        <v>105573</v>
      </c>
      <c r="D77" s="72" t="s">
        <v>105573</v>
      </c>
      <c r="E77" s="72" t="s">
        <v>105520</v>
      </c>
      <c r="F77" s="72" t="s">
        <v>105541</v>
      </c>
      <c r="G77" s="143" t="s">
        <v>105535</v>
      </c>
      <c r="H77" s="72"/>
      <c r="I77" s="72"/>
      <c r="J77" s="415"/>
      <c r="K77" s="72"/>
      <c r="L77" s="73"/>
      <c r="M77" s="305" t="s">
        <v>106709</v>
      </c>
      <c r="N77" s="75"/>
      <c r="O77" s="75"/>
      <c r="P77" s="76"/>
      <c r="Q77" s="76"/>
      <c r="R77" s="77">
        <f>SUM(R78:R78)</f>
        <v>25000000</v>
      </c>
      <c r="S77" s="470">
        <v>20408075.170000002</v>
      </c>
      <c r="T77" s="77"/>
      <c r="U77" s="78"/>
      <c r="V77" s="78"/>
      <c r="W77" s="72"/>
    </row>
    <row r="78" spans="2:23" ht="60" x14ac:dyDescent="0.2">
      <c r="B78" s="88"/>
      <c r="C78" s="89"/>
      <c r="D78" s="89"/>
      <c r="E78" s="89"/>
      <c r="F78" s="89"/>
      <c r="G78" s="89"/>
      <c r="H78" s="89"/>
      <c r="I78" s="89"/>
      <c r="J78" s="89"/>
      <c r="K78" s="96" t="s">
        <v>106717</v>
      </c>
      <c r="L78" s="91" t="s">
        <v>113340</v>
      </c>
      <c r="M78" s="444" t="s">
        <v>113502</v>
      </c>
      <c r="N78" s="93">
        <v>45717</v>
      </c>
      <c r="O78" s="441" t="s">
        <v>113006</v>
      </c>
      <c r="P78" s="441" t="s">
        <v>113045</v>
      </c>
      <c r="Q78" s="95" t="s">
        <v>113052</v>
      </c>
      <c r="R78" s="95">
        <v>25000000</v>
      </c>
      <c r="S78" s="472"/>
      <c r="T78" s="95"/>
      <c r="U78" s="96"/>
      <c r="V78" s="97"/>
      <c r="W78" s="96" t="s">
        <v>113019</v>
      </c>
    </row>
    <row r="79" spans="2:23" x14ac:dyDescent="0.2">
      <c r="B79" s="72" t="s">
        <v>105516</v>
      </c>
      <c r="C79" s="72" t="s">
        <v>105573</v>
      </c>
      <c r="D79" s="72" t="s">
        <v>105573</v>
      </c>
      <c r="E79" s="72" t="s">
        <v>105520</v>
      </c>
      <c r="F79" s="72" t="s">
        <v>105541</v>
      </c>
      <c r="G79" s="72" t="s">
        <v>105541</v>
      </c>
      <c r="H79" s="72"/>
      <c r="I79" s="72"/>
      <c r="J79" s="415"/>
      <c r="K79" s="72"/>
      <c r="L79" s="73"/>
      <c r="M79" s="74" t="s">
        <v>106246</v>
      </c>
      <c r="N79" s="75"/>
      <c r="O79" s="75"/>
      <c r="P79" s="76"/>
      <c r="Q79" s="76"/>
      <c r="R79" s="77">
        <f>+R80</f>
        <v>35000000</v>
      </c>
      <c r="S79" s="470">
        <f>S80</f>
        <v>65330564.829999998</v>
      </c>
      <c r="T79" s="77"/>
      <c r="U79" s="78"/>
      <c r="V79" s="78"/>
      <c r="W79" s="72"/>
    </row>
    <row r="80" spans="2:23" x14ac:dyDescent="0.2">
      <c r="B80" s="80" t="s">
        <v>105516</v>
      </c>
      <c r="C80" s="80" t="s">
        <v>105573</v>
      </c>
      <c r="D80" s="80" t="s">
        <v>105573</v>
      </c>
      <c r="E80" s="80" t="s">
        <v>105520</v>
      </c>
      <c r="F80" s="80" t="s">
        <v>105541</v>
      </c>
      <c r="G80" s="80" t="s">
        <v>105541</v>
      </c>
      <c r="H80" s="80" t="s">
        <v>106109</v>
      </c>
      <c r="I80" s="80"/>
      <c r="J80" s="416"/>
      <c r="K80" s="80"/>
      <c r="L80" s="436"/>
      <c r="M80" s="304" t="s">
        <v>106262</v>
      </c>
      <c r="N80" s="83"/>
      <c r="O80" s="83"/>
      <c r="P80" s="84"/>
      <c r="Q80" s="84"/>
      <c r="R80" s="85">
        <f>+R81</f>
        <v>35000000</v>
      </c>
      <c r="S80" s="471">
        <v>65330564.829999998</v>
      </c>
      <c r="T80" s="85"/>
      <c r="U80" s="86"/>
      <c r="V80" s="86"/>
      <c r="W80" s="341"/>
    </row>
    <row r="81" spans="2:23" ht="45" x14ac:dyDescent="0.2">
      <c r="B81" s="88"/>
      <c r="C81" s="89"/>
      <c r="D81" s="89"/>
      <c r="E81" s="89"/>
      <c r="F81" s="89"/>
      <c r="G81" s="89"/>
      <c r="H81" s="89"/>
      <c r="I81" s="89"/>
      <c r="J81" s="89"/>
      <c r="K81" s="96" t="s">
        <v>106717</v>
      </c>
      <c r="L81" s="91" t="s">
        <v>113244</v>
      </c>
      <c r="M81" s="102" t="s">
        <v>113508</v>
      </c>
      <c r="N81" s="93">
        <v>45822</v>
      </c>
      <c r="O81" s="441" t="s">
        <v>113505</v>
      </c>
      <c r="P81" s="441" t="s">
        <v>113002</v>
      </c>
      <c r="Q81" s="441" t="s">
        <v>113038</v>
      </c>
      <c r="R81" s="449">
        <v>35000000</v>
      </c>
      <c r="S81" s="472"/>
      <c r="T81" s="95"/>
      <c r="U81" s="96"/>
      <c r="V81" s="97"/>
      <c r="W81" s="96" t="s">
        <v>113019</v>
      </c>
    </row>
    <row r="82" spans="2:23" x14ac:dyDescent="0.2">
      <c r="B82" s="72" t="s">
        <v>105516</v>
      </c>
      <c r="C82" s="72" t="s">
        <v>105573</v>
      </c>
      <c r="D82" s="72" t="s">
        <v>105573</v>
      </c>
      <c r="E82" s="72" t="s">
        <v>105520</v>
      </c>
      <c r="F82" s="72" t="s">
        <v>105541</v>
      </c>
      <c r="G82" s="72" t="s">
        <v>105544</v>
      </c>
      <c r="H82" s="72"/>
      <c r="I82" s="72"/>
      <c r="J82" s="415"/>
      <c r="K82" s="72"/>
      <c r="L82" s="73"/>
      <c r="M82" s="74" t="s">
        <v>112995</v>
      </c>
      <c r="N82" s="75"/>
      <c r="O82" s="75"/>
      <c r="P82" s="76"/>
      <c r="Q82" s="76"/>
      <c r="R82" s="77">
        <f>+R83</f>
        <v>10000000</v>
      </c>
      <c r="S82" s="470">
        <f>S83</f>
        <v>4224500</v>
      </c>
      <c r="T82" s="77"/>
      <c r="U82" s="78"/>
      <c r="V82" s="78"/>
      <c r="W82" s="72"/>
    </row>
    <row r="83" spans="2:23" ht="30" x14ac:dyDescent="0.2">
      <c r="B83" s="80" t="s">
        <v>105516</v>
      </c>
      <c r="C83" s="80" t="s">
        <v>105573</v>
      </c>
      <c r="D83" s="80" t="s">
        <v>105573</v>
      </c>
      <c r="E83" s="80" t="s">
        <v>105520</v>
      </c>
      <c r="F83" s="80" t="s">
        <v>105541</v>
      </c>
      <c r="G83" s="80" t="s">
        <v>105544</v>
      </c>
      <c r="H83" s="80" t="s">
        <v>105520</v>
      </c>
      <c r="I83" s="80"/>
      <c r="J83" s="416"/>
      <c r="K83" s="80"/>
      <c r="L83" s="436"/>
      <c r="M83" s="304" t="s">
        <v>106266</v>
      </c>
      <c r="N83" s="83"/>
      <c r="O83" s="83"/>
      <c r="P83" s="84"/>
      <c r="Q83" s="84"/>
      <c r="R83" s="85">
        <f>SUM(R84:R85)</f>
        <v>10000000</v>
      </c>
      <c r="S83" s="471">
        <v>4224500</v>
      </c>
      <c r="T83" s="85"/>
      <c r="U83" s="86"/>
      <c r="V83" s="86"/>
      <c r="W83" s="341"/>
    </row>
    <row r="84" spans="2:23" ht="45" x14ac:dyDescent="0.2">
      <c r="B84" s="88"/>
      <c r="C84" s="89"/>
      <c r="D84" s="89"/>
      <c r="E84" s="89"/>
      <c r="F84" s="89"/>
      <c r="G84" s="89"/>
      <c r="H84" s="89"/>
      <c r="I84" s="89"/>
      <c r="J84" s="89"/>
      <c r="K84" s="96" t="s">
        <v>106726</v>
      </c>
      <c r="L84" s="91">
        <v>43233200</v>
      </c>
      <c r="M84" s="102" t="s">
        <v>113427</v>
      </c>
      <c r="N84" s="93">
        <v>45666</v>
      </c>
      <c r="O84" s="93" t="s">
        <v>113037</v>
      </c>
      <c r="P84" s="94" t="s">
        <v>113040</v>
      </c>
      <c r="Q84" s="94" t="s">
        <v>113038</v>
      </c>
      <c r="R84" s="95">
        <v>10000000</v>
      </c>
      <c r="S84" s="472"/>
      <c r="T84" s="95"/>
      <c r="U84" s="96"/>
      <c r="V84" s="97"/>
      <c r="W84" s="96" t="s">
        <v>113003</v>
      </c>
    </row>
    <row r="85" spans="2:23" x14ac:dyDescent="0.2">
      <c r="B85" s="88"/>
      <c r="C85" s="89"/>
      <c r="D85" s="89"/>
      <c r="E85" s="89"/>
      <c r="F85" s="89"/>
      <c r="G85" s="89"/>
      <c r="H85" s="89"/>
      <c r="I85" s="89"/>
      <c r="J85" s="89"/>
      <c r="K85" s="96" t="s">
        <v>106726</v>
      </c>
      <c r="L85" s="91"/>
      <c r="M85" s="92"/>
      <c r="N85" s="93"/>
      <c r="O85" s="93"/>
      <c r="P85" s="94"/>
      <c r="Q85" s="94"/>
      <c r="R85" s="95"/>
      <c r="S85" s="472"/>
      <c r="T85" s="95"/>
      <c r="U85" s="96"/>
      <c r="V85" s="97"/>
      <c r="W85" s="96"/>
    </row>
    <row r="86" spans="2:23" x14ac:dyDescent="0.2">
      <c r="B86" s="72" t="s">
        <v>105516</v>
      </c>
      <c r="C86" s="72" t="s">
        <v>105573</v>
      </c>
      <c r="D86" s="72" t="s">
        <v>105573</v>
      </c>
      <c r="E86" s="72" t="s">
        <v>105520</v>
      </c>
      <c r="F86" s="72" t="s">
        <v>105541</v>
      </c>
      <c r="G86" s="72" t="s">
        <v>105550</v>
      </c>
      <c r="H86" s="72"/>
      <c r="I86" s="72"/>
      <c r="J86" s="415"/>
      <c r="K86" s="72"/>
      <c r="L86" s="73"/>
      <c r="M86" s="74" t="s">
        <v>106284</v>
      </c>
      <c r="N86" s="75"/>
      <c r="O86" s="75"/>
      <c r="P86" s="76"/>
      <c r="Q86" s="76"/>
      <c r="R86" s="77">
        <f>+R87</f>
        <v>260000000</v>
      </c>
      <c r="S86" s="470">
        <f>S87</f>
        <v>326000000</v>
      </c>
      <c r="T86" s="77"/>
      <c r="U86" s="78"/>
      <c r="V86" s="78"/>
      <c r="W86" s="72"/>
    </row>
    <row r="87" spans="2:23" x14ac:dyDescent="0.2">
      <c r="B87" s="80" t="s">
        <v>105516</v>
      </c>
      <c r="C87" s="80" t="s">
        <v>105573</v>
      </c>
      <c r="D87" s="80" t="s">
        <v>105573</v>
      </c>
      <c r="E87" s="80" t="s">
        <v>105520</v>
      </c>
      <c r="F87" s="80" t="s">
        <v>105541</v>
      </c>
      <c r="G87" s="80" t="s">
        <v>105550</v>
      </c>
      <c r="H87" s="80" t="s">
        <v>106106</v>
      </c>
      <c r="I87" s="80"/>
      <c r="J87" s="416"/>
      <c r="K87" s="80"/>
      <c r="L87" s="436"/>
      <c r="M87" s="82" t="s">
        <v>106408</v>
      </c>
      <c r="N87" s="83"/>
      <c r="O87" s="83"/>
      <c r="P87" s="84"/>
      <c r="Q87" s="84"/>
      <c r="R87" s="85">
        <f>SUM(R88:R92)</f>
        <v>260000000</v>
      </c>
      <c r="S87" s="471">
        <v>326000000</v>
      </c>
      <c r="T87" s="85"/>
      <c r="U87" s="86"/>
      <c r="V87" s="86"/>
      <c r="W87" s="341"/>
    </row>
    <row r="88" spans="2:23" ht="45" x14ac:dyDescent="0.2">
      <c r="B88" s="88"/>
      <c r="C88" s="89"/>
      <c r="D88" s="89"/>
      <c r="E88" s="89"/>
      <c r="F88" s="89"/>
      <c r="G88" s="89"/>
      <c r="H88" s="89"/>
      <c r="I88" s="89"/>
      <c r="J88" s="89"/>
      <c r="K88" s="96" t="s">
        <v>106736</v>
      </c>
      <c r="L88" s="55">
        <v>43231500</v>
      </c>
      <c r="M88" s="92" t="s">
        <v>113428</v>
      </c>
      <c r="N88" s="93">
        <v>45886</v>
      </c>
      <c r="O88" s="93" t="s">
        <v>113078</v>
      </c>
      <c r="P88" s="94" t="s">
        <v>113045</v>
      </c>
      <c r="Q88" s="94" t="s">
        <v>112999</v>
      </c>
      <c r="R88" s="95">
        <v>80000000</v>
      </c>
      <c r="S88" s="472"/>
      <c r="T88" s="95"/>
      <c r="U88" s="96"/>
      <c r="V88" s="97"/>
      <c r="W88" s="96" t="s">
        <v>113003</v>
      </c>
    </row>
    <row r="89" spans="2:23" ht="45" x14ac:dyDescent="0.2">
      <c r="B89" s="88"/>
      <c r="C89" s="89"/>
      <c r="D89" s="89"/>
      <c r="E89" s="89"/>
      <c r="F89" s="89"/>
      <c r="G89" s="89"/>
      <c r="H89" s="89"/>
      <c r="I89" s="89"/>
      <c r="J89" s="89"/>
      <c r="K89" s="96" t="s">
        <v>106736</v>
      </c>
      <c r="L89" s="91" t="s">
        <v>113429</v>
      </c>
      <c r="M89" s="92" t="s">
        <v>113430</v>
      </c>
      <c r="N89" s="93">
        <v>45705</v>
      </c>
      <c r="O89" s="93" t="s">
        <v>113001</v>
      </c>
      <c r="P89" s="94" t="s">
        <v>113040</v>
      </c>
      <c r="Q89" s="94" t="s">
        <v>112999</v>
      </c>
      <c r="R89" s="95">
        <v>180000000</v>
      </c>
      <c r="S89" s="472"/>
      <c r="T89" s="95"/>
      <c r="U89" s="96"/>
      <c r="V89" s="97"/>
      <c r="W89" s="96" t="s">
        <v>113003</v>
      </c>
    </row>
    <row r="90" spans="2:23" x14ac:dyDescent="0.2">
      <c r="B90" s="88"/>
      <c r="C90" s="89"/>
      <c r="D90" s="89"/>
      <c r="E90" s="89"/>
      <c r="F90" s="89"/>
      <c r="G90" s="89"/>
      <c r="H90" s="89"/>
      <c r="I90" s="89"/>
      <c r="J90" s="89"/>
      <c r="K90" s="96" t="s">
        <v>106736</v>
      </c>
      <c r="L90" s="55"/>
      <c r="M90" s="92"/>
      <c r="N90" s="93"/>
      <c r="O90" s="93"/>
      <c r="P90" s="94"/>
      <c r="Q90" s="94"/>
      <c r="R90" s="95"/>
      <c r="S90" s="472"/>
      <c r="T90" s="95"/>
      <c r="U90" s="103"/>
      <c r="V90" s="125"/>
      <c r="W90" s="96"/>
    </row>
    <row r="91" spans="2:23" x14ac:dyDescent="0.2">
      <c r="B91" s="88"/>
      <c r="C91" s="89"/>
      <c r="D91" s="89"/>
      <c r="E91" s="89"/>
      <c r="F91" s="89"/>
      <c r="G91" s="89"/>
      <c r="H91" s="89"/>
      <c r="I91" s="89"/>
      <c r="J91" s="89"/>
      <c r="K91" s="96" t="s">
        <v>106736</v>
      </c>
      <c r="L91" s="55"/>
      <c r="M91" s="92"/>
      <c r="N91" s="93"/>
      <c r="O91" s="93"/>
      <c r="P91" s="94"/>
      <c r="Q91" s="94"/>
      <c r="R91" s="95"/>
      <c r="S91" s="472"/>
      <c r="T91" s="95"/>
      <c r="U91" s="126"/>
      <c r="V91" s="97"/>
      <c r="W91" s="96"/>
    </row>
    <row r="92" spans="2:23" x14ac:dyDescent="0.2">
      <c r="B92" s="88"/>
      <c r="C92" s="89"/>
      <c r="D92" s="89"/>
      <c r="E92" s="89"/>
      <c r="F92" s="89"/>
      <c r="G92" s="89"/>
      <c r="H92" s="89"/>
      <c r="I92" s="89"/>
      <c r="J92" s="89"/>
      <c r="K92" s="96" t="s">
        <v>106736</v>
      </c>
      <c r="L92" s="55"/>
      <c r="M92" s="92"/>
      <c r="N92" s="93"/>
      <c r="O92" s="93"/>
      <c r="P92" s="94"/>
      <c r="Q92" s="94"/>
      <c r="R92" s="95"/>
      <c r="S92" s="472"/>
      <c r="T92" s="95"/>
      <c r="U92" s="96"/>
      <c r="V92" s="97"/>
      <c r="W92" s="96"/>
    </row>
    <row r="93" spans="2:23" ht="30" x14ac:dyDescent="0.2">
      <c r="B93" s="72" t="s">
        <v>105516</v>
      </c>
      <c r="C93" s="72" t="s">
        <v>105573</v>
      </c>
      <c r="D93" s="72" t="s">
        <v>105573</v>
      </c>
      <c r="E93" s="72" t="s">
        <v>105520</v>
      </c>
      <c r="F93" s="72" t="s">
        <v>105541</v>
      </c>
      <c r="G93" s="72" t="s">
        <v>105553</v>
      </c>
      <c r="H93" s="72"/>
      <c r="I93" s="72"/>
      <c r="J93" s="415"/>
      <c r="K93" s="72"/>
      <c r="L93" s="73"/>
      <c r="M93" s="74" t="s">
        <v>106300</v>
      </c>
      <c r="N93" s="75"/>
      <c r="O93" s="75"/>
      <c r="P93" s="76"/>
      <c r="Q93" s="76"/>
      <c r="R93" s="77">
        <f>+R94+R96</f>
        <v>22000000</v>
      </c>
      <c r="S93" s="470">
        <f>S94+S96</f>
        <v>10000000</v>
      </c>
      <c r="T93" s="77"/>
      <c r="U93" s="78"/>
      <c r="V93" s="78"/>
      <c r="W93" s="72"/>
    </row>
    <row r="94" spans="2:23" ht="60" x14ac:dyDescent="0.2">
      <c r="B94" s="80" t="s">
        <v>105516</v>
      </c>
      <c r="C94" s="80" t="s">
        <v>105573</v>
      </c>
      <c r="D94" s="80" t="s">
        <v>105573</v>
      </c>
      <c r="E94" s="80" t="s">
        <v>105520</v>
      </c>
      <c r="F94" s="80" t="s">
        <v>105541</v>
      </c>
      <c r="G94" s="80" t="s">
        <v>105553</v>
      </c>
      <c r="H94" s="80" t="s">
        <v>105573</v>
      </c>
      <c r="I94" s="80"/>
      <c r="J94" s="416"/>
      <c r="K94" s="80"/>
      <c r="L94" s="436"/>
      <c r="M94" s="82" t="s">
        <v>106304</v>
      </c>
      <c r="N94" s="83"/>
      <c r="O94" s="83"/>
      <c r="P94" s="84"/>
      <c r="Q94" s="84"/>
      <c r="R94" s="85">
        <f>+R95</f>
        <v>15000000</v>
      </c>
      <c r="S94" s="471">
        <v>10000000</v>
      </c>
      <c r="T94" s="85"/>
      <c r="U94" s="86"/>
      <c r="V94" s="86"/>
      <c r="W94" s="341"/>
    </row>
    <row r="95" spans="2:23" ht="150" x14ac:dyDescent="0.2">
      <c r="B95" s="88"/>
      <c r="C95" s="89"/>
      <c r="D95" s="89"/>
      <c r="E95" s="89"/>
      <c r="F95" s="89"/>
      <c r="G95" s="89"/>
      <c r="H95" s="89"/>
      <c r="I95" s="89"/>
      <c r="J95" s="89"/>
      <c r="K95" s="96" t="s">
        <v>106745</v>
      </c>
      <c r="L95" s="91" t="s">
        <v>113241</v>
      </c>
      <c r="M95" s="102" t="s">
        <v>113058</v>
      </c>
      <c r="N95" s="440">
        <v>45731</v>
      </c>
      <c r="O95" s="441" t="s">
        <v>113503</v>
      </c>
      <c r="P95" s="441" t="s">
        <v>113155</v>
      </c>
      <c r="Q95" s="441" t="s">
        <v>112999</v>
      </c>
      <c r="R95" s="95">
        <v>15000000</v>
      </c>
      <c r="S95" s="472"/>
      <c r="T95" s="95"/>
      <c r="U95" s="96"/>
      <c r="V95" s="97"/>
      <c r="W95" s="96" t="s">
        <v>113019</v>
      </c>
    </row>
    <row r="96" spans="2:23" ht="30" x14ac:dyDescent="0.2">
      <c r="B96" s="80" t="s">
        <v>105516</v>
      </c>
      <c r="C96" s="80" t="s">
        <v>105573</v>
      </c>
      <c r="D96" s="80" t="s">
        <v>105573</v>
      </c>
      <c r="E96" s="80" t="s">
        <v>105520</v>
      </c>
      <c r="F96" s="80" t="s">
        <v>105541</v>
      </c>
      <c r="G96" s="80" t="s">
        <v>105553</v>
      </c>
      <c r="H96" s="80" t="s">
        <v>105675</v>
      </c>
      <c r="I96" s="80"/>
      <c r="J96" s="416"/>
      <c r="K96" s="80"/>
      <c r="L96" s="436"/>
      <c r="M96" s="82" t="s">
        <v>106306</v>
      </c>
      <c r="N96" s="83"/>
      <c r="O96" s="83"/>
      <c r="P96" s="84"/>
      <c r="Q96" s="84"/>
      <c r="R96" s="85">
        <f>+R97</f>
        <v>7000000</v>
      </c>
      <c r="S96" s="471">
        <v>0</v>
      </c>
      <c r="T96" s="85"/>
      <c r="U96" s="86"/>
      <c r="V96" s="86"/>
      <c r="W96" s="341"/>
    </row>
    <row r="97" spans="2:27" x14ac:dyDescent="0.2">
      <c r="B97" s="88"/>
      <c r="C97" s="89"/>
      <c r="D97" s="89"/>
      <c r="E97" s="89"/>
      <c r="F97" s="89"/>
      <c r="G97" s="89"/>
      <c r="H97" s="89"/>
      <c r="I97" s="89"/>
      <c r="J97" s="89"/>
      <c r="K97" s="96" t="s">
        <v>106745</v>
      </c>
      <c r="L97" s="119">
        <v>81141500</v>
      </c>
      <c r="M97" s="120" t="s">
        <v>113056</v>
      </c>
      <c r="N97" s="121">
        <v>45680</v>
      </c>
      <c r="O97" s="93" t="s">
        <v>113001</v>
      </c>
      <c r="P97" s="94" t="s">
        <v>112998</v>
      </c>
      <c r="Q97" s="94" t="s">
        <v>113052</v>
      </c>
      <c r="R97" s="95">
        <v>7000000</v>
      </c>
      <c r="S97" s="474"/>
      <c r="T97" s="98" t="s">
        <v>113057</v>
      </c>
      <c r="U97" s="398"/>
      <c r="V97" s="454"/>
      <c r="W97" s="96" t="s">
        <v>113057</v>
      </c>
      <c r="X97" s="455">
        <f>V97-Z97</f>
        <v>0</v>
      </c>
      <c r="Y97" s="456"/>
      <c r="Z97" s="457"/>
      <c r="AA97" s="458">
        <f t="shared" ref="AA97" si="0">R97-Z97</f>
        <v>7000000</v>
      </c>
    </row>
    <row r="98" spans="2:27" x14ac:dyDescent="0.2">
      <c r="B98" s="54" t="s">
        <v>105516</v>
      </c>
      <c r="C98" s="54" t="s">
        <v>105573</v>
      </c>
      <c r="D98" s="54" t="s">
        <v>105573</v>
      </c>
      <c r="E98" s="54" t="s">
        <v>105573</v>
      </c>
      <c r="F98" s="54"/>
      <c r="G98" s="54"/>
      <c r="H98" s="54"/>
      <c r="I98" s="54"/>
      <c r="J98" s="413"/>
      <c r="K98" s="54"/>
      <c r="L98" s="55"/>
      <c r="M98" s="56" t="s">
        <v>106777</v>
      </c>
      <c r="N98" s="57"/>
      <c r="O98" s="57"/>
      <c r="P98" s="58"/>
      <c r="Q98" s="58"/>
      <c r="R98" s="59">
        <f>+R99+R110+R117+R213+R228</f>
        <v>3861609000</v>
      </c>
      <c r="S98" s="468">
        <f>S99+S110+S117+S213</f>
        <v>6671961500</v>
      </c>
      <c r="T98" s="59"/>
      <c r="U98" s="60"/>
      <c r="V98" s="60"/>
      <c r="W98" s="397"/>
    </row>
    <row r="99" spans="2:27" ht="75" customHeight="1" x14ac:dyDescent="0.2">
      <c r="B99" s="63" t="s">
        <v>105516</v>
      </c>
      <c r="C99" s="63" t="s">
        <v>105573</v>
      </c>
      <c r="D99" s="63" t="s">
        <v>105573</v>
      </c>
      <c r="E99" s="63" t="s">
        <v>105573</v>
      </c>
      <c r="F99" s="63" t="s">
        <v>105547</v>
      </c>
      <c r="G99" s="63"/>
      <c r="H99" s="63"/>
      <c r="I99" s="63"/>
      <c r="J99" s="414"/>
      <c r="K99" s="254"/>
      <c r="L99" s="65"/>
      <c r="M99" s="306" t="s">
        <v>113227</v>
      </c>
      <c r="N99" s="67"/>
      <c r="O99" s="67"/>
      <c r="P99" s="68"/>
      <c r="Q99" s="68"/>
      <c r="R99" s="69">
        <f>+R100+R104+R107</f>
        <v>646000000</v>
      </c>
      <c r="S99" s="469">
        <f>S100+S104+S107</f>
        <v>539700000</v>
      </c>
      <c r="T99" s="69"/>
      <c r="U99" s="70"/>
      <c r="V99" s="70"/>
      <c r="W99" s="254"/>
    </row>
    <row r="100" spans="2:27" x14ac:dyDescent="0.2">
      <c r="B100" s="72" t="s">
        <v>105516</v>
      </c>
      <c r="C100" s="72" t="s">
        <v>105573</v>
      </c>
      <c r="D100" s="72" t="s">
        <v>105573</v>
      </c>
      <c r="E100" s="72" t="s">
        <v>105573</v>
      </c>
      <c r="F100" s="72" t="s">
        <v>105547</v>
      </c>
      <c r="G100" s="72" t="s">
        <v>105541</v>
      </c>
      <c r="H100" s="72"/>
      <c r="I100" s="72"/>
      <c r="J100" s="415"/>
      <c r="K100" s="72"/>
      <c r="L100" s="73"/>
      <c r="M100" s="74" t="s">
        <v>106829</v>
      </c>
      <c r="N100" s="75"/>
      <c r="O100" s="75"/>
      <c r="P100" s="76"/>
      <c r="Q100" s="76"/>
      <c r="R100" s="77">
        <f>SUM(R101:R103)</f>
        <v>46000000</v>
      </c>
      <c r="S100" s="470">
        <v>51000000</v>
      </c>
      <c r="T100" s="77"/>
      <c r="U100" s="78"/>
      <c r="V100" s="78"/>
      <c r="W100" s="72"/>
    </row>
    <row r="101" spans="2:27" ht="30" x14ac:dyDescent="0.2">
      <c r="B101" s="88"/>
      <c r="C101" s="89"/>
      <c r="D101" s="89"/>
      <c r="E101" s="89"/>
      <c r="F101" s="89"/>
      <c r="G101" s="89"/>
      <c r="H101" s="89"/>
      <c r="I101" s="89"/>
      <c r="J101" s="89"/>
      <c r="K101" s="96" t="s">
        <v>106828</v>
      </c>
      <c r="L101" s="91" t="s">
        <v>113250</v>
      </c>
      <c r="M101" s="92" t="s">
        <v>113059</v>
      </c>
      <c r="N101" s="93">
        <v>45660</v>
      </c>
      <c r="O101" s="93" t="s">
        <v>113060</v>
      </c>
      <c r="P101" s="94" t="s">
        <v>113011</v>
      </c>
      <c r="Q101" s="94" t="s">
        <v>113008</v>
      </c>
      <c r="R101" s="95">
        <v>40000000</v>
      </c>
      <c r="S101" s="472"/>
      <c r="T101" s="95"/>
      <c r="U101" s="96"/>
      <c r="V101" s="97"/>
      <c r="W101" s="96" t="s">
        <v>113035</v>
      </c>
    </row>
    <row r="102" spans="2:27" x14ac:dyDescent="0.2">
      <c r="B102" s="88"/>
      <c r="C102" s="89"/>
      <c r="D102" s="89"/>
      <c r="E102" s="89"/>
      <c r="F102" s="89"/>
      <c r="G102" s="89"/>
      <c r="H102" s="89"/>
      <c r="I102" s="89"/>
      <c r="J102" s="89"/>
      <c r="K102" s="96" t="s">
        <v>106828</v>
      </c>
      <c r="L102" s="127">
        <v>78111800</v>
      </c>
      <c r="M102" s="92" t="s">
        <v>113061</v>
      </c>
      <c r="N102" s="93">
        <v>45678</v>
      </c>
      <c r="O102" s="93" t="s">
        <v>113037</v>
      </c>
      <c r="P102" s="93" t="s">
        <v>113011</v>
      </c>
      <c r="Q102" s="93" t="s">
        <v>113052</v>
      </c>
      <c r="R102" s="95">
        <v>6000000</v>
      </c>
      <c r="S102" s="472"/>
      <c r="T102" s="95"/>
      <c r="U102" s="96"/>
      <c r="V102" s="97"/>
      <c r="W102" s="96" t="s">
        <v>113035</v>
      </c>
    </row>
    <row r="103" spans="2:27" x14ac:dyDescent="0.2">
      <c r="B103" s="88"/>
      <c r="C103" s="89"/>
      <c r="D103" s="89"/>
      <c r="E103" s="89"/>
      <c r="F103" s="89"/>
      <c r="G103" s="89"/>
      <c r="H103" s="89"/>
      <c r="I103" s="89"/>
      <c r="J103" s="89"/>
      <c r="K103" s="96" t="s">
        <v>106828</v>
      </c>
      <c r="L103" s="127"/>
      <c r="M103" s="92"/>
      <c r="N103" s="93"/>
      <c r="O103" s="93"/>
      <c r="P103" s="93"/>
      <c r="Q103" s="93"/>
      <c r="R103" s="95"/>
      <c r="S103" s="472"/>
      <c r="T103" s="95"/>
      <c r="U103" s="96"/>
      <c r="V103" s="97"/>
      <c r="W103" s="96"/>
    </row>
    <row r="104" spans="2:27" x14ac:dyDescent="0.2">
      <c r="B104" s="72" t="s">
        <v>105516</v>
      </c>
      <c r="C104" s="72" t="s">
        <v>105573</v>
      </c>
      <c r="D104" s="72" t="s">
        <v>105573</v>
      </c>
      <c r="E104" s="72" t="s">
        <v>105573</v>
      </c>
      <c r="F104" s="72" t="s">
        <v>105547</v>
      </c>
      <c r="G104" s="72" t="s">
        <v>105553</v>
      </c>
      <c r="H104" s="72"/>
      <c r="I104" s="72"/>
      <c r="J104" s="415"/>
      <c r="K104" s="72"/>
      <c r="L104" s="73"/>
      <c r="M104" s="74" t="s">
        <v>106857</v>
      </c>
      <c r="N104" s="75"/>
      <c r="O104" s="75"/>
      <c r="P104" s="76"/>
      <c r="Q104" s="76"/>
      <c r="R104" s="77">
        <f>SUM(R105:R106)</f>
        <v>0</v>
      </c>
      <c r="S104" s="470">
        <v>12700000</v>
      </c>
      <c r="T104" s="77"/>
      <c r="U104" s="78"/>
      <c r="V104" s="78"/>
      <c r="W104" s="72"/>
    </row>
    <row r="105" spans="2:27" x14ac:dyDescent="0.2">
      <c r="B105" s="88"/>
      <c r="C105" s="89"/>
      <c r="D105" s="89"/>
      <c r="E105" s="89"/>
      <c r="F105" s="89"/>
      <c r="G105" s="89"/>
      <c r="H105" s="89"/>
      <c r="I105" s="89"/>
      <c r="J105" s="89"/>
      <c r="K105" s="96" t="s">
        <v>106856</v>
      </c>
      <c r="L105" s="459"/>
      <c r="M105" s="92"/>
      <c r="N105" s="93"/>
      <c r="O105" s="93"/>
      <c r="P105" s="94"/>
      <c r="Q105" s="94"/>
      <c r="R105" s="95"/>
      <c r="S105" s="472"/>
      <c r="T105" s="95"/>
      <c r="U105" s="96"/>
      <c r="V105" s="97"/>
      <c r="W105" s="96"/>
    </row>
    <row r="106" spans="2:27" x14ac:dyDescent="0.2">
      <c r="B106" s="88"/>
      <c r="C106" s="89"/>
      <c r="D106" s="89"/>
      <c r="E106" s="89"/>
      <c r="F106" s="89"/>
      <c r="G106" s="89"/>
      <c r="H106" s="89"/>
      <c r="I106" s="89"/>
      <c r="J106" s="89"/>
      <c r="K106" s="96" t="s">
        <v>106856</v>
      </c>
      <c r="L106" s="127"/>
      <c r="M106" s="92"/>
      <c r="N106" s="93"/>
      <c r="O106" s="93"/>
      <c r="P106" s="94"/>
      <c r="Q106" s="93"/>
      <c r="R106" s="95"/>
      <c r="S106" s="472"/>
      <c r="T106" s="95"/>
      <c r="U106" s="96"/>
      <c r="V106" s="97"/>
      <c r="W106" s="96"/>
    </row>
    <row r="107" spans="2:27" ht="30" x14ac:dyDescent="0.2">
      <c r="B107" s="72" t="s">
        <v>105516</v>
      </c>
      <c r="C107" s="72" t="s">
        <v>105573</v>
      </c>
      <c r="D107" s="72" t="s">
        <v>105573</v>
      </c>
      <c r="E107" s="72" t="s">
        <v>105573</v>
      </c>
      <c r="F107" s="72" t="s">
        <v>105547</v>
      </c>
      <c r="G107" s="72" t="s">
        <v>105556</v>
      </c>
      <c r="H107" s="72"/>
      <c r="I107" s="72"/>
      <c r="J107" s="415"/>
      <c r="K107" s="72"/>
      <c r="L107" s="73"/>
      <c r="M107" s="74" t="s">
        <v>106859</v>
      </c>
      <c r="N107" s="75"/>
      <c r="O107" s="75"/>
      <c r="P107" s="76"/>
      <c r="Q107" s="76"/>
      <c r="R107" s="77">
        <f>SUM(R108)</f>
        <v>600000000</v>
      </c>
      <c r="S107" s="470">
        <f>S108</f>
        <v>476000000</v>
      </c>
      <c r="T107" s="77"/>
      <c r="U107" s="78"/>
      <c r="V107" s="78"/>
      <c r="W107" s="72"/>
    </row>
    <row r="108" spans="2:27" ht="30" x14ac:dyDescent="0.2">
      <c r="B108" s="80" t="s">
        <v>105516</v>
      </c>
      <c r="C108" s="80" t="s">
        <v>105573</v>
      </c>
      <c r="D108" s="80" t="s">
        <v>105573</v>
      </c>
      <c r="E108" s="80" t="s">
        <v>105573</v>
      </c>
      <c r="F108" s="80" t="s">
        <v>105547</v>
      </c>
      <c r="G108" s="80" t="s">
        <v>105556</v>
      </c>
      <c r="H108" s="80" t="s">
        <v>105520</v>
      </c>
      <c r="I108" s="80"/>
      <c r="J108" s="416"/>
      <c r="K108" s="80"/>
      <c r="L108" s="436"/>
      <c r="M108" s="82" t="s">
        <v>106861</v>
      </c>
      <c r="N108" s="83"/>
      <c r="O108" s="83"/>
      <c r="P108" s="84"/>
      <c r="Q108" s="84"/>
      <c r="R108" s="85">
        <f>SUM(R109)</f>
        <v>600000000</v>
      </c>
      <c r="S108" s="471">
        <v>476000000</v>
      </c>
      <c r="T108" s="85"/>
      <c r="U108" s="86"/>
      <c r="V108" s="86"/>
      <c r="W108" s="341"/>
    </row>
    <row r="109" spans="2:27" ht="34.5" customHeight="1" x14ac:dyDescent="0.2">
      <c r="B109" s="88"/>
      <c r="C109" s="89"/>
      <c r="D109" s="89"/>
      <c r="E109" s="89"/>
      <c r="F109" s="89"/>
      <c r="G109" s="89"/>
      <c r="H109" s="89"/>
      <c r="I109" s="89"/>
      <c r="J109" s="89"/>
      <c r="K109" s="96" t="s">
        <v>106858</v>
      </c>
      <c r="L109" s="459"/>
      <c r="M109" s="92" t="s">
        <v>113066</v>
      </c>
      <c r="N109" s="93">
        <v>45659</v>
      </c>
      <c r="O109" s="93" t="s">
        <v>113060</v>
      </c>
      <c r="P109" s="94" t="s">
        <v>113011</v>
      </c>
      <c r="Q109" s="93" t="s">
        <v>113031</v>
      </c>
      <c r="R109" s="95">
        <v>600000000</v>
      </c>
      <c r="S109" s="472"/>
      <c r="T109" s="95"/>
      <c r="U109" s="96"/>
      <c r="V109" s="129"/>
      <c r="W109" s="96" t="s">
        <v>113064</v>
      </c>
    </row>
    <row r="110" spans="2:27" ht="30" x14ac:dyDescent="0.2">
      <c r="B110" s="63" t="s">
        <v>105516</v>
      </c>
      <c r="C110" s="63" t="s">
        <v>105573</v>
      </c>
      <c r="D110" s="63" t="s">
        <v>105573</v>
      </c>
      <c r="E110" s="63" t="s">
        <v>105573</v>
      </c>
      <c r="F110" s="63" t="s">
        <v>105550</v>
      </c>
      <c r="G110" s="63"/>
      <c r="H110" s="63"/>
      <c r="I110" s="63"/>
      <c r="J110" s="414"/>
      <c r="K110" s="254"/>
      <c r="L110" s="65"/>
      <c r="M110" s="66" t="s">
        <v>106865</v>
      </c>
      <c r="N110" s="67"/>
      <c r="O110" s="67"/>
      <c r="P110" s="68"/>
      <c r="Q110" s="68"/>
      <c r="R110" s="69">
        <f>+R111</f>
        <v>10000000</v>
      </c>
      <c r="S110" s="469">
        <f>S111</f>
        <v>3273000000</v>
      </c>
      <c r="T110" s="69"/>
      <c r="U110" s="70"/>
      <c r="V110" s="70"/>
      <c r="W110" s="254"/>
    </row>
    <row r="111" spans="2:27" x14ac:dyDescent="0.2">
      <c r="B111" s="72" t="s">
        <v>105516</v>
      </c>
      <c r="C111" s="72" t="s">
        <v>105573</v>
      </c>
      <c r="D111" s="72" t="s">
        <v>105573</v>
      </c>
      <c r="E111" s="72" t="s">
        <v>105573</v>
      </c>
      <c r="F111" s="72" t="s">
        <v>105550</v>
      </c>
      <c r="G111" s="72" t="s">
        <v>105528</v>
      </c>
      <c r="H111" s="72"/>
      <c r="I111" s="72"/>
      <c r="J111" s="415"/>
      <c r="K111" s="72"/>
      <c r="L111" s="73"/>
      <c r="M111" s="74" t="s">
        <v>106867</v>
      </c>
      <c r="N111" s="75"/>
      <c r="O111" s="75"/>
      <c r="P111" s="76"/>
      <c r="Q111" s="76"/>
      <c r="R111" s="77">
        <f>R115</f>
        <v>10000000</v>
      </c>
      <c r="S111" s="470">
        <f>S112+S115</f>
        <v>3273000000</v>
      </c>
      <c r="T111" s="77"/>
      <c r="U111" s="78"/>
      <c r="V111" s="78"/>
      <c r="W111" s="72"/>
    </row>
    <row r="112" spans="2:27" ht="30" x14ac:dyDescent="0.2">
      <c r="B112" s="80" t="s">
        <v>105516</v>
      </c>
      <c r="C112" s="81" t="s">
        <v>105924</v>
      </c>
      <c r="D112" s="81" t="s">
        <v>105520</v>
      </c>
      <c r="E112" s="81" t="s">
        <v>105573</v>
      </c>
      <c r="F112" s="81" t="s">
        <v>105550</v>
      </c>
      <c r="G112" s="81" t="s">
        <v>105528</v>
      </c>
      <c r="H112" s="80" t="s">
        <v>105675</v>
      </c>
      <c r="I112" s="80" t="s">
        <v>106217</v>
      </c>
      <c r="J112" s="416"/>
      <c r="K112" s="81"/>
      <c r="L112" s="436"/>
      <c r="M112" s="304" t="s">
        <v>106892</v>
      </c>
      <c r="N112" s="83"/>
      <c r="O112" s="83"/>
      <c r="P112" s="84"/>
      <c r="Q112" s="84"/>
      <c r="R112" s="85">
        <f>+R115</f>
        <v>10000000</v>
      </c>
      <c r="S112" s="471">
        <f>S113</f>
        <v>3273000000</v>
      </c>
      <c r="T112" s="85"/>
      <c r="U112" s="86"/>
      <c r="V112" s="86"/>
      <c r="W112" s="80"/>
    </row>
    <row r="113" spans="2:23" ht="30" x14ac:dyDescent="0.2">
      <c r="B113" s="80" t="s">
        <v>105516</v>
      </c>
      <c r="C113" s="81" t="s">
        <v>105924</v>
      </c>
      <c r="D113" s="81" t="s">
        <v>105520</v>
      </c>
      <c r="E113" s="81" t="s">
        <v>105573</v>
      </c>
      <c r="F113" s="81" t="s">
        <v>105550</v>
      </c>
      <c r="G113" s="81" t="s">
        <v>105528</v>
      </c>
      <c r="H113" s="80" t="s">
        <v>105675</v>
      </c>
      <c r="I113" s="80" t="s">
        <v>106217</v>
      </c>
      <c r="J113" s="416" t="s">
        <v>105917</v>
      </c>
      <c r="K113" s="81"/>
      <c r="L113" s="436"/>
      <c r="M113" s="304" t="s">
        <v>106900</v>
      </c>
      <c r="N113" s="83"/>
      <c r="O113" s="83"/>
      <c r="P113" s="84"/>
      <c r="Q113" s="84"/>
      <c r="R113" s="85">
        <f>+R115</f>
        <v>10000000</v>
      </c>
      <c r="S113" s="471">
        <v>3273000000</v>
      </c>
      <c r="T113" s="85"/>
      <c r="U113" s="86"/>
      <c r="V113" s="86"/>
      <c r="W113" s="80"/>
    </row>
    <row r="114" spans="2:23" x14ac:dyDescent="0.2">
      <c r="B114" s="194"/>
      <c r="C114" s="195"/>
      <c r="D114" s="195"/>
      <c r="E114" s="195"/>
      <c r="F114" s="195"/>
      <c r="G114" s="195"/>
      <c r="H114" s="195"/>
      <c r="I114" s="195"/>
      <c r="J114" s="195"/>
      <c r="K114" s="96" t="s">
        <v>112489</v>
      </c>
      <c r="L114" s="55"/>
      <c r="M114" s="102"/>
      <c r="N114" s="93"/>
      <c r="O114" s="93"/>
      <c r="P114" s="93"/>
      <c r="Q114" s="93"/>
      <c r="R114" s="95"/>
      <c r="S114" s="472"/>
      <c r="T114" s="95"/>
      <c r="U114" s="96"/>
      <c r="V114" s="97"/>
      <c r="W114" s="96"/>
    </row>
    <row r="115" spans="2:23" ht="30" x14ac:dyDescent="0.2">
      <c r="B115" s="80" t="s">
        <v>105516</v>
      </c>
      <c r="C115" s="80" t="s">
        <v>105573</v>
      </c>
      <c r="D115" s="80" t="s">
        <v>105573</v>
      </c>
      <c r="E115" s="80" t="s">
        <v>105573</v>
      </c>
      <c r="F115" s="80" t="s">
        <v>105550</v>
      </c>
      <c r="G115" s="80" t="s">
        <v>105528</v>
      </c>
      <c r="H115" s="80" t="s">
        <v>105675</v>
      </c>
      <c r="I115" s="80" t="s">
        <v>106217</v>
      </c>
      <c r="J115" s="416" t="s">
        <v>106103</v>
      </c>
      <c r="K115" s="80"/>
      <c r="L115" s="436"/>
      <c r="M115" s="82" t="s">
        <v>106906</v>
      </c>
      <c r="N115" s="83"/>
      <c r="O115" s="83"/>
      <c r="P115" s="84"/>
      <c r="Q115" s="84"/>
      <c r="R115" s="85">
        <f>+R116</f>
        <v>10000000</v>
      </c>
      <c r="S115" s="471">
        <v>0</v>
      </c>
      <c r="T115" s="85"/>
      <c r="U115" s="86"/>
      <c r="V115" s="86"/>
      <c r="W115" s="341"/>
    </row>
    <row r="116" spans="2:23" ht="30" x14ac:dyDescent="0.2">
      <c r="B116" s="88"/>
      <c r="C116" s="89"/>
      <c r="D116" s="89"/>
      <c r="E116" s="89"/>
      <c r="F116" s="89"/>
      <c r="G116" s="89"/>
      <c r="H116" s="89"/>
      <c r="I116" s="89"/>
      <c r="J116" s="89"/>
      <c r="K116" s="96" t="s">
        <v>106866</v>
      </c>
      <c r="L116" s="207">
        <v>84131600</v>
      </c>
      <c r="M116" s="131" t="s">
        <v>106906</v>
      </c>
      <c r="N116" s="121">
        <v>45979</v>
      </c>
      <c r="O116" s="93" t="s">
        <v>113123</v>
      </c>
      <c r="P116" s="132" t="s">
        <v>113079</v>
      </c>
      <c r="Q116" s="132" t="s">
        <v>113052</v>
      </c>
      <c r="R116" s="95">
        <v>10000000</v>
      </c>
      <c r="S116" s="472"/>
      <c r="T116" s="95"/>
      <c r="U116" s="96"/>
      <c r="V116" s="97"/>
      <c r="W116" s="96" t="s">
        <v>113035</v>
      </c>
    </row>
    <row r="117" spans="2:23" ht="30" x14ac:dyDescent="0.2">
      <c r="B117" s="63" t="s">
        <v>105516</v>
      </c>
      <c r="C117" s="63" t="s">
        <v>105573</v>
      </c>
      <c r="D117" s="63" t="s">
        <v>105573</v>
      </c>
      <c r="E117" s="63" t="s">
        <v>105573</v>
      </c>
      <c r="F117" s="63" t="s">
        <v>105553</v>
      </c>
      <c r="G117" s="63"/>
      <c r="H117" s="63"/>
      <c r="I117" s="63"/>
      <c r="J117" s="414"/>
      <c r="K117" s="254"/>
      <c r="L117" s="65"/>
      <c r="M117" s="66" t="s">
        <v>106978</v>
      </c>
      <c r="N117" s="67"/>
      <c r="O117" s="67"/>
      <c r="P117" s="68"/>
      <c r="Q117" s="68"/>
      <c r="R117" s="69">
        <f>+R118+R124+R183+R191+R197</f>
        <v>2704609000</v>
      </c>
      <c r="S117" s="469">
        <f>S118+S124+S183+S191+S197</f>
        <v>2373975500</v>
      </c>
      <c r="T117" s="69"/>
      <c r="U117" s="70"/>
      <c r="V117" s="70"/>
      <c r="W117" s="254"/>
    </row>
    <row r="118" spans="2:23" x14ac:dyDescent="0.2">
      <c r="B118" s="72" t="s">
        <v>105516</v>
      </c>
      <c r="C118" s="72" t="s">
        <v>105573</v>
      </c>
      <c r="D118" s="72" t="s">
        <v>105573</v>
      </c>
      <c r="E118" s="72" t="s">
        <v>105573</v>
      </c>
      <c r="F118" s="72" t="s">
        <v>105553</v>
      </c>
      <c r="G118" s="72" t="s">
        <v>105535</v>
      </c>
      <c r="H118" s="72"/>
      <c r="I118" s="72"/>
      <c r="J118" s="415"/>
      <c r="K118" s="72"/>
      <c r="L118" s="73"/>
      <c r="M118" s="74" t="s">
        <v>106988</v>
      </c>
      <c r="N118" s="75"/>
      <c r="O118" s="75"/>
      <c r="P118" s="76"/>
      <c r="Q118" s="76"/>
      <c r="R118" s="77">
        <f>+R119</f>
        <v>250800000</v>
      </c>
      <c r="S118" s="470">
        <f>S119</f>
        <v>178200000</v>
      </c>
      <c r="T118" s="77"/>
      <c r="U118" s="78"/>
      <c r="V118" s="78"/>
      <c r="W118" s="72"/>
    </row>
    <row r="119" spans="2:23" x14ac:dyDescent="0.2">
      <c r="B119" s="80" t="s">
        <v>105516</v>
      </c>
      <c r="C119" s="80" t="s">
        <v>105573</v>
      </c>
      <c r="D119" s="80" t="s">
        <v>105573</v>
      </c>
      <c r="E119" s="80" t="s">
        <v>105573</v>
      </c>
      <c r="F119" s="80" t="s">
        <v>105553</v>
      </c>
      <c r="G119" s="80" t="s">
        <v>105535</v>
      </c>
      <c r="H119" s="80" t="s">
        <v>105520</v>
      </c>
      <c r="I119" s="80"/>
      <c r="J119" s="416"/>
      <c r="K119" s="80"/>
      <c r="L119" s="436"/>
      <c r="M119" s="82" t="s">
        <v>106990</v>
      </c>
      <c r="N119" s="83"/>
      <c r="O119" s="83"/>
      <c r="P119" s="84"/>
      <c r="Q119" s="84"/>
      <c r="R119" s="85">
        <f>SUM(R120:R123)</f>
        <v>250800000</v>
      </c>
      <c r="S119" s="471">
        <v>178200000</v>
      </c>
      <c r="T119" s="85"/>
      <c r="U119" s="86"/>
      <c r="V119" s="86"/>
      <c r="W119" s="341"/>
    </row>
    <row r="120" spans="2:23" ht="128.25" customHeight="1" x14ac:dyDescent="0.2">
      <c r="B120" s="88"/>
      <c r="C120" s="89"/>
      <c r="D120" s="89"/>
      <c r="E120" s="89"/>
      <c r="F120" s="89"/>
      <c r="G120" s="89"/>
      <c r="H120" s="89"/>
      <c r="I120" s="89"/>
      <c r="J120" s="89"/>
      <c r="K120" s="96" t="s">
        <v>106987</v>
      </c>
      <c r="L120" s="91" t="s">
        <v>113252</v>
      </c>
      <c r="M120" s="92" t="s">
        <v>113497</v>
      </c>
      <c r="N120" s="93">
        <v>45666</v>
      </c>
      <c r="O120" s="93">
        <v>45666</v>
      </c>
      <c r="P120" s="94" t="s">
        <v>113200</v>
      </c>
      <c r="Q120" s="94" t="s">
        <v>113498</v>
      </c>
      <c r="R120" s="391">
        <v>62700000</v>
      </c>
      <c r="S120" s="472"/>
      <c r="T120" s="95"/>
      <c r="U120" s="126" t="s">
        <v>113031</v>
      </c>
      <c r="V120" s="96" t="s">
        <v>113031</v>
      </c>
      <c r="W120" s="400" t="s">
        <v>113074</v>
      </c>
    </row>
    <row r="121" spans="2:23" ht="84.75" customHeight="1" x14ac:dyDescent="0.2">
      <c r="B121" s="88"/>
      <c r="C121" s="89"/>
      <c r="D121" s="89"/>
      <c r="E121" s="89"/>
      <c r="F121" s="89"/>
      <c r="G121" s="89"/>
      <c r="H121" s="89"/>
      <c r="I121" s="89"/>
      <c r="J121" s="89"/>
      <c r="K121" s="96" t="s">
        <v>106987</v>
      </c>
      <c r="L121" s="91" t="s">
        <v>113252</v>
      </c>
      <c r="M121" s="92" t="s">
        <v>113253</v>
      </c>
      <c r="N121" s="93">
        <v>45666</v>
      </c>
      <c r="O121" s="93">
        <v>45666</v>
      </c>
      <c r="P121" s="94" t="s">
        <v>113200</v>
      </c>
      <c r="Q121" s="94" t="s">
        <v>113053</v>
      </c>
      <c r="R121" s="391">
        <v>62700000</v>
      </c>
      <c r="S121" s="472"/>
      <c r="T121" s="95"/>
      <c r="U121" s="126" t="s">
        <v>113031</v>
      </c>
      <c r="V121" s="96" t="s">
        <v>113031</v>
      </c>
      <c r="W121" s="96" t="s">
        <v>113072</v>
      </c>
    </row>
    <row r="122" spans="2:23" ht="90" customHeight="1" x14ac:dyDescent="0.2">
      <c r="B122" s="88"/>
      <c r="C122" s="89"/>
      <c r="D122" s="89"/>
      <c r="E122" s="89"/>
      <c r="F122" s="89"/>
      <c r="G122" s="89"/>
      <c r="H122" s="89"/>
      <c r="I122" s="89"/>
      <c r="J122" s="89"/>
      <c r="K122" s="96" t="s">
        <v>106987</v>
      </c>
      <c r="L122" s="91" t="s">
        <v>113252</v>
      </c>
      <c r="M122" s="92" t="s">
        <v>113499</v>
      </c>
      <c r="N122" s="93">
        <v>45666</v>
      </c>
      <c r="O122" s="93">
        <v>45666</v>
      </c>
      <c r="P122" s="94" t="s">
        <v>113200</v>
      </c>
      <c r="Q122" s="94" t="s">
        <v>113053</v>
      </c>
      <c r="R122" s="391">
        <v>62700000</v>
      </c>
      <c r="S122" s="472"/>
      <c r="T122" s="95"/>
      <c r="U122" s="126" t="s">
        <v>113031</v>
      </c>
      <c r="V122" s="96" t="s">
        <v>113031</v>
      </c>
      <c r="W122" s="96" t="s">
        <v>113072</v>
      </c>
    </row>
    <row r="123" spans="2:23" ht="135.75" customHeight="1" x14ac:dyDescent="0.2">
      <c r="B123" s="88"/>
      <c r="C123" s="89"/>
      <c r="D123" s="89"/>
      <c r="E123" s="89"/>
      <c r="F123" s="89"/>
      <c r="G123" s="89"/>
      <c r="H123" s="89"/>
      <c r="I123" s="89"/>
      <c r="J123" s="89"/>
      <c r="K123" s="96" t="s">
        <v>106987</v>
      </c>
      <c r="L123" s="91" t="s">
        <v>113252</v>
      </c>
      <c r="M123" s="92" t="s">
        <v>113500</v>
      </c>
      <c r="N123" s="93">
        <v>45666</v>
      </c>
      <c r="O123" s="93">
        <v>45666</v>
      </c>
      <c r="P123" s="94" t="s">
        <v>113200</v>
      </c>
      <c r="Q123" s="94" t="s">
        <v>113501</v>
      </c>
      <c r="R123" s="391">
        <v>62700000</v>
      </c>
      <c r="S123" s="472"/>
      <c r="T123" s="95"/>
      <c r="U123" s="126" t="s">
        <v>113031</v>
      </c>
      <c r="V123" s="96" t="s">
        <v>113031</v>
      </c>
      <c r="W123" s="96" t="s">
        <v>113072</v>
      </c>
    </row>
    <row r="124" spans="2:23" ht="45" x14ac:dyDescent="0.2">
      <c r="B124" s="72" t="s">
        <v>105516</v>
      </c>
      <c r="C124" s="72" t="s">
        <v>105573</v>
      </c>
      <c r="D124" s="72" t="s">
        <v>105573</v>
      </c>
      <c r="E124" s="72" t="s">
        <v>105573</v>
      </c>
      <c r="F124" s="72" t="s">
        <v>105553</v>
      </c>
      <c r="G124" s="72" t="s">
        <v>105538</v>
      </c>
      <c r="H124" s="72"/>
      <c r="I124" s="72"/>
      <c r="J124" s="415"/>
      <c r="K124" s="72"/>
      <c r="L124" s="73"/>
      <c r="M124" s="305" t="s">
        <v>113228</v>
      </c>
      <c r="N124" s="75"/>
      <c r="O124" s="75"/>
      <c r="P124" s="76"/>
      <c r="Q124" s="76"/>
      <c r="R124" s="77">
        <f>+R125</f>
        <v>2112809000</v>
      </c>
      <c r="S124" s="470">
        <f>S125</f>
        <v>1880793872</v>
      </c>
      <c r="T124" s="77"/>
      <c r="U124" s="78"/>
      <c r="V124" s="78"/>
      <c r="W124" s="399"/>
    </row>
    <row r="125" spans="2:23" ht="30" x14ac:dyDescent="0.2">
      <c r="B125" s="80" t="s">
        <v>105516</v>
      </c>
      <c r="C125" s="80" t="s">
        <v>105573</v>
      </c>
      <c r="D125" s="80" t="s">
        <v>105573</v>
      </c>
      <c r="E125" s="80" t="s">
        <v>105573</v>
      </c>
      <c r="F125" s="80" t="s">
        <v>105553</v>
      </c>
      <c r="G125" s="80" t="s">
        <v>105538</v>
      </c>
      <c r="H125" s="80" t="s">
        <v>105520</v>
      </c>
      <c r="I125" s="80"/>
      <c r="J125" s="416"/>
      <c r="K125" s="80"/>
      <c r="L125" s="436"/>
      <c r="M125" s="304" t="s">
        <v>107000</v>
      </c>
      <c r="N125" s="83"/>
      <c r="O125" s="83"/>
      <c r="P125" s="84"/>
      <c r="Q125" s="84"/>
      <c r="R125" s="85">
        <f>+R126+R164+R166</f>
        <v>2112809000</v>
      </c>
      <c r="S125" s="471">
        <f>S126+S164+S166</f>
        <v>1880793872</v>
      </c>
      <c r="T125" s="85"/>
      <c r="U125" s="86"/>
      <c r="V125" s="86"/>
      <c r="W125" s="341"/>
    </row>
    <row r="126" spans="2:23" ht="30" x14ac:dyDescent="0.2">
      <c r="B126" s="80" t="s">
        <v>105516</v>
      </c>
      <c r="C126" s="80" t="s">
        <v>105573</v>
      </c>
      <c r="D126" s="80" t="s">
        <v>105573</v>
      </c>
      <c r="E126" s="80" t="s">
        <v>105573</v>
      </c>
      <c r="F126" s="80" t="s">
        <v>105553</v>
      </c>
      <c r="G126" s="80" t="s">
        <v>105538</v>
      </c>
      <c r="H126" s="80" t="s">
        <v>105520</v>
      </c>
      <c r="I126" s="80" t="s">
        <v>105576</v>
      </c>
      <c r="J126" s="418"/>
      <c r="K126" s="122"/>
      <c r="L126" s="108"/>
      <c r="M126" s="304" t="s">
        <v>107002</v>
      </c>
      <c r="N126" s="83"/>
      <c r="O126" s="83"/>
      <c r="P126" s="84"/>
      <c r="Q126" s="111"/>
      <c r="R126" s="85">
        <f>SUM(R127:R163)</f>
        <v>1973900000</v>
      </c>
      <c r="S126" s="471">
        <v>1768398206</v>
      </c>
      <c r="T126" s="85"/>
      <c r="U126" s="86"/>
      <c r="V126" s="86"/>
      <c r="W126" s="341"/>
    </row>
    <row r="127" spans="2:23" ht="105" x14ac:dyDescent="0.2">
      <c r="B127" s="88"/>
      <c r="C127" s="89"/>
      <c r="D127" s="89"/>
      <c r="E127" s="89"/>
      <c r="F127" s="89"/>
      <c r="G127" s="89"/>
      <c r="H127" s="89"/>
      <c r="I127" s="89"/>
      <c r="J127" s="89"/>
      <c r="K127" s="96" t="s">
        <v>106997</v>
      </c>
      <c r="L127" s="55">
        <v>80101500</v>
      </c>
      <c r="M127" s="92" t="s">
        <v>113368</v>
      </c>
      <c r="N127" s="93">
        <v>45664</v>
      </c>
      <c r="O127" s="93" t="s">
        <v>113254</v>
      </c>
      <c r="P127" s="94" t="s">
        <v>113211</v>
      </c>
      <c r="Q127" s="94" t="s">
        <v>113071</v>
      </c>
      <c r="R127" s="391">
        <f>5700000*11</f>
        <v>62700000</v>
      </c>
      <c r="S127" s="474"/>
      <c r="T127" s="92"/>
      <c r="U127" s="133"/>
      <c r="V127" s="136"/>
      <c r="W127" s="400" t="s">
        <v>113082</v>
      </c>
    </row>
    <row r="128" spans="2:23" ht="110.25" customHeight="1" x14ac:dyDescent="0.2">
      <c r="B128" s="88"/>
      <c r="C128" s="89"/>
      <c r="D128" s="89"/>
      <c r="E128" s="89"/>
      <c r="F128" s="89"/>
      <c r="G128" s="89"/>
      <c r="H128" s="89"/>
      <c r="I128" s="89"/>
      <c r="J128" s="89"/>
      <c r="K128" s="96" t="s">
        <v>106997</v>
      </c>
      <c r="L128" s="204">
        <v>80101500</v>
      </c>
      <c r="M128" s="131" t="s">
        <v>113416</v>
      </c>
      <c r="N128" s="93">
        <v>45664</v>
      </c>
      <c r="O128" s="93" t="s">
        <v>113254</v>
      </c>
      <c r="P128" s="94" t="s">
        <v>113211</v>
      </c>
      <c r="Q128" s="94" t="s">
        <v>113053</v>
      </c>
      <c r="R128" s="391">
        <f>3200000*11</f>
        <v>35200000</v>
      </c>
      <c r="S128" s="474"/>
      <c r="T128" s="92"/>
      <c r="U128" s="137"/>
      <c r="V128" s="104"/>
      <c r="W128" s="400" t="s">
        <v>113082</v>
      </c>
    </row>
    <row r="129" spans="2:23" ht="143.25" customHeight="1" x14ac:dyDescent="0.2">
      <c r="B129" s="88"/>
      <c r="C129" s="89"/>
      <c r="D129" s="89"/>
      <c r="E129" s="89"/>
      <c r="F129" s="89"/>
      <c r="G129" s="89"/>
      <c r="H129" s="89"/>
      <c r="I129" s="89"/>
      <c r="J129" s="89"/>
      <c r="K129" s="96" t="s">
        <v>106997</v>
      </c>
      <c r="L129" s="55">
        <v>80101500</v>
      </c>
      <c r="M129" s="92" t="s">
        <v>113349</v>
      </c>
      <c r="N129" s="93">
        <v>45677</v>
      </c>
      <c r="O129" s="93" t="s">
        <v>113037</v>
      </c>
      <c r="P129" s="94" t="s">
        <v>113011</v>
      </c>
      <c r="Q129" s="94" t="s">
        <v>113071</v>
      </c>
      <c r="R129" s="391">
        <f>62700000/2+6650000</f>
        <v>38000000</v>
      </c>
      <c r="S129" s="472"/>
      <c r="T129" s="95"/>
      <c r="U129" s="133"/>
      <c r="V129" s="136"/>
      <c r="W129" s="398" t="s">
        <v>113012</v>
      </c>
    </row>
    <row r="130" spans="2:23" ht="70.5" customHeight="1" x14ac:dyDescent="0.2">
      <c r="B130" s="88"/>
      <c r="C130" s="89"/>
      <c r="D130" s="89"/>
      <c r="E130" s="89"/>
      <c r="F130" s="89"/>
      <c r="G130" s="89"/>
      <c r="H130" s="89"/>
      <c r="I130" s="89"/>
      <c r="J130" s="89"/>
      <c r="K130" s="96" t="s">
        <v>106997</v>
      </c>
      <c r="L130" s="55">
        <v>80101500</v>
      </c>
      <c r="M130" s="102" t="s">
        <v>113418</v>
      </c>
      <c r="N130" s="93">
        <v>45677</v>
      </c>
      <c r="O130" s="93" t="s">
        <v>113037</v>
      </c>
      <c r="P130" s="94" t="s">
        <v>113011</v>
      </c>
      <c r="Q130" s="94" t="s">
        <v>113053</v>
      </c>
      <c r="R130" s="391">
        <f>3200000*11</f>
        <v>35200000</v>
      </c>
      <c r="S130" s="472"/>
      <c r="T130" s="95"/>
      <c r="U130" s="96"/>
      <c r="V130" s="97"/>
      <c r="W130" s="96" t="s">
        <v>113097</v>
      </c>
    </row>
    <row r="131" spans="2:23" ht="60" x14ac:dyDescent="0.2">
      <c r="B131" s="88"/>
      <c r="C131" s="89"/>
      <c r="D131" s="89"/>
      <c r="E131" s="89"/>
      <c r="F131" s="89"/>
      <c r="G131" s="89"/>
      <c r="H131" s="89"/>
      <c r="I131" s="89"/>
      <c r="J131" s="89"/>
      <c r="K131" s="96" t="s">
        <v>106997</v>
      </c>
      <c r="L131" s="55">
        <v>81101500</v>
      </c>
      <c r="M131" s="102" t="s">
        <v>113259</v>
      </c>
      <c r="N131" s="93">
        <v>45688</v>
      </c>
      <c r="O131" s="93" t="s">
        <v>113037</v>
      </c>
      <c r="P131" s="94" t="s">
        <v>113022</v>
      </c>
      <c r="Q131" s="94" t="s">
        <v>113258</v>
      </c>
      <c r="R131" s="391">
        <f>4100000*10</f>
        <v>41000000</v>
      </c>
      <c r="S131" s="475"/>
      <c r="T131" s="104"/>
      <c r="U131" s="136"/>
      <c r="V131" s="136"/>
      <c r="W131" s="400" t="s">
        <v>113080</v>
      </c>
    </row>
    <row r="132" spans="2:23" ht="75" x14ac:dyDescent="0.2">
      <c r="B132" s="88"/>
      <c r="C132" s="89"/>
      <c r="D132" s="89"/>
      <c r="E132" s="89"/>
      <c r="F132" s="89"/>
      <c r="G132" s="89"/>
      <c r="H132" s="89"/>
      <c r="I132" s="89"/>
      <c r="J132" s="89"/>
      <c r="K132" s="96" t="s">
        <v>106997</v>
      </c>
      <c r="L132" s="55">
        <v>81101500</v>
      </c>
      <c r="M132" s="102" t="s">
        <v>113419</v>
      </c>
      <c r="N132" s="93">
        <v>45688</v>
      </c>
      <c r="O132" s="93" t="s">
        <v>113037</v>
      </c>
      <c r="P132" s="94" t="s">
        <v>113022</v>
      </c>
      <c r="Q132" s="94" t="s">
        <v>113258</v>
      </c>
      <c r="R132" s="391">
        <f>4100000*10</f>
        <v>41000000</v>
      </c>
      <c r="S132" s="475"/>
      <c r="T132" s="104"/>
      <c r="U132" s="136"/>
      <c r="V132" s="136"/>
      <c r="W132" s="400" t="s">
        <v>113080</v>
      </c>
    </row>
    <row r="133" spans="2:23" ht="75" x14ac:dyDescent="0.2">
      <c r="B133" s="88"/>
      <c r="C133" s="89"/>
      <c r="D133" s="89"/>
      <c r="E133" s="89"/>
      <c r="F133" s="89"/>
      <c r="G133" s="89"/>
      <c r="H133" s="89"/>
      <c r="I133" s="89"/>
      <c r="J133" s="89"/>
      <c r="K133" s="96" t="s">
        <v>106997</v>
      </c>
      <c r="L133" s="55">
        <v>81101500</v>
      </c>
      <c r="M133" s="102" t="s">
        <v>113420</v>
      </c>
      <c r="N133" s="93">
        <v>45688</v>
      </c>
      <c r="O133" s="93" t="s">
        <v>113037</v>
      </c>
      <c r="P133" s="94" t="s">
        <v>113022</v>
      </c>
      <c r="Q133" s="94" t="s">
        <v>113258</v>
      </c>
      <c r="R133" s="391">
        <f>4100000*10</f>
        <v>41000000</v>
      </c>
      <c r="S133" s="475"/>
      <c r="T133" s="104"/>
      <c r="U133" s="136"/>
      <c r="V133" s="136"/>
      <c r="W133" s="400" t="s">
        <v>113080</v>
      </c>
    </row>
    <row r="134" spans="2:23" ht="45" x14ac:dyDescent="0.2">
      <c r="B134" s="88"/>
      <c r="C134" s="89"/>
      <c r="D134" s="89"/>
      <c r="E134" s="89"/>
      <c r="F134" s="89"/>
      <c r="G134" s="89"/>
      <c r="H134" s="89"/>
      <c r="I134" s="89"/>
      <c r="J134" s="89"/>
      <c r="K134" s="96" t="s">
        <v>106997</v>
      </c>
      <c r="L134" s="55">
        <v>84111503</v>
      </c>
      <c r="M134" s="102" t="s">
        <v>113364</v>
      </c>
      <c r="N134" s="93">
        <v>45717</v>
      </c>
      <c r="O134" s="93" t="s">
        <v>113001</v>
      </c>
      <c r="P134" s="94" t="s">
        <v>113002</v>
      </c>
      <c r="Q134" s="94" t="s">
        <v>113094</v>
      </c>
      <c r="R134" s="391">
        <v>130000000</v>
      </c>
      <c r="S134" s="472"/>
      <c r="T134" s="95"/>
      <c r="U134" s="133"/>
      <c r="V134" s="136"/>
      <c r="W134" s="398" t="s">
        <v>113421</v>
      </c>
    </row>
    <row r="135" spans="2:23" ht="90" x14ac:dyDescent="0.2">
      <c r="B135" s="88"/>
      <c r="C135" s="89"/>
      <c r="D135" s="89"/>
      <c r="E135" s="89"/>
      <c r="F135" s="89"/>
      <c r="G135" s="89"/>
      <c r="H135" s="89"/>
      <c r="I135" s="89"/>
      <c r="J135" s="89"/>
      <c r="K135" s="96" t="s">
        <v>106997</v>
      </c>
      <c r="L135" s="55">
        <v>81111500</v>
      </c>
      <c r="M135" s="100" t="s">
        <v>113361</v>
      </c>
      <c r="N135" s="93">
        <v>45666</v>
      </c>
      <c r="O135" s="93" t="s">
        <v>113060</v>
      </c>
      <c r="P135" s="94" t="s">
        <v>113011</v>
      </c>
      <c r="Q135" s="94" t="s">
        <v>113053</v>
      </c>
      <c r="R135" s="391">
        <v>62700000</v>
      </c>
      <c r="S135" s="472"/>
      <c r="T135" s="95"/>
      <c r="U135" s="133"/>
      <c r="V135" s="136"/>
      <c r="W135" s="96" t="s">
        <v>113003</v>
      </c>
    </row>
    <row r="136" spans="2:23" ht="60" x14ac:dyDescent="0.2">
      <c r="B136" s="88"/>
      <c r="C136" s="89"/>
      <c r="D136" s="89"/>
      <c r="E136" s="89"/>
      <c r="F136" s="89"/>
      <c r="G136" s="89"/>
      <c r="H136" s="89"/>
      <c r="I136" s="89"/>
      <c r="J136" s="89"/>
      <c r="K136" s="96" t="s">
        <v>106997</v>
      </c>
      <c r="L136" s="55" t="s">
        <v>101349</v>
      </c>
      <c r="M136" s="92" t="s">
        <v>113431</v>
      </c>
      <c r="N136" s="93">
        <v>45677</v>
      </c>
      <c r="O136" s="93" t="s">
        <v>113037</v>
      </c>
      <c r="P136" s="94" t="s">
        <v>113011</v>
      </c>
      <c r="Q136" s="94" t="s">
        <v>113053</v>
      </c>
      <c r="R136" s="391">
        <v>45100000</v>
      </c>
      <c r="S136" s="472"/>
      <c r="T136" s="95"/>
      <c r="U136" s="133"/>
      <c r="V136" s="136"/>
      <c r="W136" s="96" t="s">
        <v>113003</v>
      </c>
    </row>
    <row r="137" spans="2:23" ht="75" x14ac:dyDescent="0.2">
      <c r="B137" s="88"/>
      <c r="C137" s="89"/>
      <c r="D137" s="89"/>
      <c r="E137" s="89"/>
      <c r="F137" s="89"/>
      <c r="G137" s="89"/>
      <c r="H137" s="89"/>
      <c r="I137" s="89"/>
      <c r="J137" s="89"/>
      <c r="K137" s="96" t="s">
        <v>106997</v>
      </c>
      <c r="L137" s="55">
        <v>81111500</v>
      </c>
      <c r="M137" s="92" t="s">
        <v>113432</v>
      </c>
      <c r="N137" s="93">
        <v>45666</v>
      </c>
      <c r="O137" s="93" t="s">
        <v>113037</v>
      </c>
      <c r="P137" s="94" t="s">
        <v>113011</v>
      </c>
      <c r="Q137" s="94" t="s">
        <v>113053</v>
      </c>
      <c r="R137" s="391">
        <v>99000000</v>
      </c>
      <c r="S137" s="472"/>
      <c r="T137" s="95"/>
      <c r="U137" s="133"/>
      <c r="V137" s="136"/>
      <c r="W137" s="96" t="s">
        <v>113003</v>
      </c>
    </row>
    <row r="138" spans="2:23" ht="60" x14ac:dyDescent="0.2">
      <c r="B138" s="88"/>
      <c r="C138" s="89"/>
      <c r="D138" s="89"/>
      <c r="E138" s="89"/>
      <c r="F138" s="89"/>
      <c r="G138" s="89"/>
      <c r="H138" s="89"/>
      <c r="I138" s="89"/>
      <c r="J138" s="89"/>
      <c r="K138" s="96" t="s">
        <v>106997</v>
      </c>
      <c r="L138" s="55">
        <v>81111500</v>
      </c>
      <c r="M138" s="92" t="s">
        <v>113433</v>
      </c>
      <c r="N138" s="93">
        <v>45666</v>
      </c>
      <c r="O138" s="93" t="s">
        <v>113037</v>
      </c>
      <c r="P138" s="94" t="s">
        <v>113011</v>
      </c>
      <c r="Q138" s="94" t="s">
        <v>113053</v>
      </c>
      <c r="R138" s="391">
        <v>93500000</v>
      </c>
      <c r="S138" s="472"/>
      <c r="T138" s="95"/>
      <c r="U138" s="133"/>
      <c r="V138" s="136"/>
      <c r="W138" s="96" t="s">
        <v>113003</v>
      </c>
    </row>
    <row r="139" spans="2:23" ht="60" x14ac:dyDescent="0.2">
      <c r="B139" s="88"/>
      <c r="C139" s="89"/>
      <c r="D139" s="89"/>
      <c r="E139" s="89"/>
      <c r="F139" s="89"/>
      <c r="G139" s="89"/>
      <c r="H139" s="89"/>
      <c r="I139" s="89"/>
      <c r="J139" s="89"/>
      <c r="K139" s="96" t="s">
        <v>106997</v>
      </c>
      <c r="L139" s="55">
        <v>43232407</v>
      </c>
      <c r="M139" s="92" t="s">
        <v>113434</v>
      </c>
      <c r="N139" s="93">
        <v>45679</v>
      </c>
      <c r="O139" s="93" t="s">
        <v>113037</v>
      </c>
      <c r="P139" s="94" t="s">
        <v>113002</v>
      </c>
      <c r="Q139" s="94" t="s">
        <v>113053</v>
      </c>
      <c r="R139" s="391">
        <v>28500000</v>
      </c>
      <c r="S139" s="472"/>
      <c r="T139" s="95"/>
      <c r="U139" s="133"/>
      <c r="V139" s="136"/>
      <c r="W139" s="96" t="s">
        <v>113003</v>
      </c>
    </row>
    <row r="140" spans="2:23" ht="60" x14ac:dyDescent="0.2">
      <c r="B140" s="88"/>
      <c r="C140" s="89"/>
      <c r="D140" s="89"/>
      <c r="E140" s="89"/>
      <c r="F140" s="89"/>
      <c r="G140" s="89"/>
      <c r="H140" s="89"/>
      <c r="I140" s="89"/>
      <c r="J140" s="89"/>
      <c r="K140" s="96" t="s">
        <v>106997</v>
      </c>
      <c r="L140" s="55">
        <v>81111500</v>
      </c>
      <c r="M140" s="102" t="s">
        <v>113435</v>
      </c>
      <c r="N140" s="93">
        <v>45679</v>
      </c>
      <c r="O140" s="93" t="s">
        <v>113037</v>
      </c>
      <c r="P140" s="94" t="s">
        <v>113002</v>
      </c>
      <c r="Q140" s="94" t="s">
        <v>113053</v>
      </c>
      <c r="R140" s="391">
        <v>42000000</v>
      </c>
      <c r="S140" s="472"/>
      <c r="T140" s="95"/>
      <c r="U140" s="133"/>
      <c r="V140" s="136"/>
      <c r="W140" s="96" t="s">
        <v>113003</v>
      </c>
    </row>
    <row r="141" spans="2:23" ht="60" x14ac:dyDescent="0.2">
      <c r="B141" s="88"/>
      <c r="C141" s="89"/>
      <c r="D141" s="89"/>
      <c r="E141" s="89"/>
      <c r="F141" s="89"/>
      <c r="G141" s="89"/>
      <c r="H141" s="89"/>
      <c r="I141" s="89"/>
      <c r="J141" s="89"/>
      <c r="K141" s="96" t="s">
        <v>106997</v>
      </c>
      <c r="L141" s="55">
        <v>81111500</v>
      </c>
      <c r="M141" s="102" t="s">
        <v>113435</v>
      </c>
      <c r="N141" s="93">
        <v>45679</v>
      </c>
      <c r="O141" s="93" t="s">
        <v>113037</v>
      </c>
      <c r="P141" s="94" t="s">
        <v>113002</v>
      </c>
      <c r="Q141" s="94" t="s">
        <v>113053</v>
      </c>
      <c r="R141" s="391">
        <v>42000000</v>
      </c>
      <c r="S141" s="472"/>
      <c r="T141" s="95"/>
      <c r="U141" s="133"/>
      <c r="V141" s="136"/>
      <c r="W141" s="96" t="s">
        <v>113003</v>
      </c>
    </row>
    <row r="142" spans="2:23" ht="60" x14ac:dyDescent="0.2">
      <c r="B142" s="88"/>
      <c r="C142" s="89"/>
      <c r="D142" s="89"/>
      <c r="E142" s="89"/>
      <c r="F142" s="89"/>
      <c r="G142" s="89"/>
      <c r="H142" s="89"/>
      <c r="I142" s="89"/>
      <c r="J142" s="89"/>
      <c r="K142" s="96" t="s">
        <v>106997</v>
      </c>
      <c r="L142" s="55">
        <v>81111500</v>
      </c>
      <c r="M142" s="92" t="s">
        <v>113436</v>
      </c>
      <c r="N142" s="93">
        <v>45679</v>
      </c>
      <c r="O142" s="93" t="s">
        <v>113037</v>
      </c>
      <c r="P142" s="94" t="s">
        <v>113002</v>
      </c>
      <c r="Q142" s="94" t="s">
        <v>113053</v>
      </c>
      <c r="R142" s="391">
        <v>45000000</v>
      </c>
      <c r="S142" s="472"/>
      <c r="T142" s="95"/>
      <c r="U142" s="133"/>
      <c r="V142" s="136"/>
      <c r="W142" s="96" t="s">
        <v>113003</v>
      </c>
    </row>
    <row r="143" spans="2:23" ht="60" x14ac:dyDescent="0.2">
      <c r="B143" s="88"/>
      <c r="C143" s="89"/>
      <c r="D143" s="89"/>
      <c r="E143" s="89"/>
      <c r="F143" s="89"/>
      <c r="G143" s="89"/>
      <c r="H143" s="89"/>
      <c r="I143" s="89"/>
      <c r="J143" s="89"/>
      <c r="K143" s="96" t="s">
        <v>106997</v>
      </c>
      <c r="L143" s="55">
        <v>81111500</v>
      </c>
      <c r="M143" s="92" t="s">
        <v>113436</v>
      </c>
      <c r="N143" s="93">
        <v>45679</v>
      </c>
      <c r="O143" s="93" t="s">
        <v>113037</v>
      </c>
      <c r="P143" s="94" t="s">
        <v>113002</v>
      </c>
      <c r="Q143" s="94" t="s">
        <v>113053</v>
      </c>
      <c r="R143" s="391">
        <v>45000000</v>
      </c>
      <c r="S143" s="472"/>
      <c r="T143" s="95"/>
      <c r="U143" s="133"/>
      <c r="V143" s="136"/>
      <c r="W143" s="96" t="s">
        <v>113003</v>
      </c>
    </row>
    <row r="144" spans="2:23" ht="60" x14ac:dyDescent="0.2">
      <c r="B144" s="88"/>
      <c r="C144" s="89"/>
      <c r="D144" s="89"/>
      <c r="E144" s="89"/>
      <c r="F144" s="89"/>
      <c r="G144" s="89"/>
      <c r="H144" s="89"/>
      <c r="I144" s="89"/>
      <c r="J144" s="89"/>
      <c r="K144" s="96" t="s">
        <v>106997</v>
      </c>
      <c r="L144" s="91">
        <v>81112103</v>
      </c>
      <c r="M144" s="100" t="s">
        <v>113437</v>
      </c>
      <c r="N144" s="93">
        <v>45824</v>
      </c>
      <c r="O144" s="93" t="s">
        <v>112997</v>
      </c>
      <c r="P144" s="94" t="s">
        <v>113007</v>
      </c>
      <c r="Q144" s="94" t="s">
        <v>113053</v>
      </c>
      <c r="R144" s="391">
        <v>16400000</v>
      </c>
      <c r="S144" s="472"/>
      <c r="T144" s="95"/>
      <c r="U144" s="133"/>
      <c r="V144" s="136"/>
      <c r="W144" s="96" t="s">
        <v>113003</v>
      </c>
    </row>
    <row r="145" spans="2:23" ht="60" x14ac:dyDescent="0.2">
      <c r="B145" s="88"/>
      <c r="C145" s="89"/>
      <c r="D145" s="89"/>
      <c r="E145" s="89"/>
      <c r="F145" s="89"/>
      <c r="G145" s="89"/>
      <c r="H145" s="89"/>
      <c r="I145" s="89"/>
      <c r="J145" s="89"/>
      <c r="K145" s="96" t="s">
        <v>106997</v>
      </c>
      <c r="L145" s="91" t="s">
        <v>113084</v>
      </c>
      <c r="M145" s="102" t="s">
        <v>113438</v>
      </c>
      <c r="N145" s="93">
        <v>45672</v>
      </c>
      <c r="O145" s="93" t="s">
        <v>113037</v>
      </c>
      <c r="P145" s="94" t="s">
        <v>113022</v>
      </c>
      <c r="Q145" s="94" t="s">
        <v>112999</v>
      </c>
      <c r="R145" s="391">
        <v>80000000</v>
      </c>
      <c r="S145" s="472"/>
      <c r="T145" s="95"/>
      <c r="U145" s="133"/>
      <c r="V145" s="136"/>
      <c r="W145" s="96" t="s">
        <v>113003</v>
      </c>
    </row>
    <row r="146" spans="2:23" ht="45" x14ac:dyDescent="0.2">
      <c r="B146" s="88"/>
      <c r="C146" s="89"/>
      <c r="D146" s="89"/>
      <c r="E146" s="89"/>
      <c r="F146" s="89"/>
      <c r="G146" s="89"/>
      <c r="H146" s="89"/>
      <c r="I146" s="89"/>
      <c r="J146" s="89"/>
      <c r="K146" s="96" t="s">
        <v>106997</v>
      </c>
      <c r="L146" s="55">
        <v>81111800</v>
      </c>
      <c r="M146" s="92" t="s">
        <v>113439</v>
      </c>
      <c r="N146" s="93">
        <v>45692</v>
      </c>
      <c r="O146" s="93" t="s">
        <v>113037</v>
      </c>
      <c r="P146" s="94" t="s">
        <v>113022</v>
      </c>
      <c r="Q146" s="94" t="s">
        <v>112999</v>
      </c>
      <c r="R146" s="391">
        <v>155000000</v>
      </c>
      <c r="S146" s="472"/>
      <c r="T146" s="95"/>
      <c r="U146" s="133"/>
      <c r="V146" s="136"/>
      <c r="W146" s="96" t="s">
        <v>113003</v>
      </c>
    </row>
    <row r="147" spans="2:23" ht="45" x14ac:dyDescent="0.2">
      <c r="B147" s="88"/>
      <c r="C147" s="89"/>
      <c r="D147" s="89"/>
      <c r="E147" s="89"/>
      <c r="F147" s="89"/>
      <c r="G147" s="89"/>
      <c r="H147" s="89"/>
      <c r="I147" s="89"/>
      <c r="J147" s="89"/>
      <c r="K147" s="96" t="s">
        <v>106997</v>
      </c>
      <c r="L147" s="91" t="s">
        <v>113440</v>
      </c>
      <c r="M147" s="102" t="s">
        <v>113441</v>
      </c>
      <c r="N147" s="93">
        <v>45825</v>
      </c>
      <c r="O147" s="93" t="s">
        <v>112997</v>
      </c>
      <c r="P147" s="94" t="s">
        <v>112998</v>
      </c>
      <c r="Q147" s="94" t="s">
        <v>113053</v>
      </c>
      <c r="R147" s="391">
        <v>160000000</v>
      </c>
      <c r="S147" s="472"/>
      <c r="T147" s="95"/>
      <c r="U147" s="133"/>
      <c r="V147" s="136"/>
      <c r="W147" s="96" t="s">
        <v>113003</v>
      </c>
    </row>
    <row r="148" spans="2:23" ht="45" x14ac:dyDescent="0.2">
      <c r="B148" s="88"/>
      <c r="C148" s="89"/>
      <c r="D148" s="89"/>
      <c r="E148" s="89"/>
      <c r="F148" s="89"/>
      <c r="G148" s="89"/>
      <c r="H148" s="89"/>
      <c r="I148" s="89"/>
      <c r="J148" s="89"/>
      <c r="K148" s="96" t="s">
        <v>106997</v>
      </c>
      <c r="L148" s="55">
        <v>81111800</v>
      </c>
      <c r="M148" s="92" t="s">
        <v>113442</v>
      </c>
      <c r="N148" s="93">
        <v>45733</v>
      </c>
      <c r="O148" s="93" t="s">
        <v>113087</v>
      </c>
      <c r="P148" s="94" t="s">
        <v>113028</v>
      </c>
      <c r="Q148" s="94" t="s">
        <v>113053</v>
      </c>
      <c r="R148" s="391">
        <v>90000000</v>
      </c>
      <c r="S148" s="474"/>
      <c r="T148" s="92"/>
      <c r="U148" s="133"/>
      <c r="V148" s="136"/>
      <c r="W148" s="96" t="s">
        <v>113003</v>
      </c>
    </row>
    <row r="149" spans="2:23" ht="45" x14ac:dyDescent="0.2">
      <c r="B149" s="88"/>
      <c r="C149" s="89"/>
      <c r="D149" s="89"/>
      <c r="E149" s="89"/>
      <c r="F149" s="89"/>
      <c r="G149" s="89"/>
      <c r="H149" s="89"/>
      <c r="I149" s="89"/>
      <c r="J149" s="89"/>
      <c r="K149" s="96" t="s">
        <v>106997</v>
      </c>
      <c r="L149" s="91" t="s">
        <v>113443</v>
      </c>
      <c r="M149" s="92" t="s">
        <v>113444</v>
      </c>
      <c r="N149" s="93">
        <v>45768</v>
      </c>
      <c r="O149" s="93" t="s">
        <v>113087</v>
      </c>
      <c r="P149" s="94" t="s">
        <v>113028</v>
      </c>
      <c r="Q149" s="94" t="s">
        <v>113053</v>
      </c>
      <c r="R149" s="391">
        <v>50000000</v>
      </c>
      <c r="S149" s="474"/>
      <c r="T149" s="92"/>
      <c r="U149" s="133"/>
      <c r="V149" s="136"/>
      <c r="W149" s="96" t="s">
        <v>113003</v>
      </c>
    </row>
    <row r="150" spans="2:23" ht="45" x14ac:dyDescent="0.2">
      <c r="B150" s="88"/>
      <c r="C150" s="89"/>
      <c r="D150" s="89"/>
      <c r="E150" s="89"/>
      <c r="F150" s="89"/>
      <c r="G150" s="89"/>
      <c r="H150" s="89"/>
      <c r="I150" s="89"/>
      <c r="J150" s="89"/>
      <c r="K150" s="96" t="s">
        <v>106997</v>
      </c>
      <c r="L150" s="55">
        <v>81112200</v>
      </c>
      <c r="M150" s="102" t="s">
        <v>113445</v>
      </c>
      <c r="N150" s="93">
        <v>45666</v>
      </c>
      <c r="O150" s="93" t="s">
        <v>113037</v>
      </c>
      <c r="P150" s="94" t="s">
        <v>113011</v>
      </c>
      <c r="Q150" s="94" t="s">
        <v>113053</v>
      </c>
      <c r="R150" s="391">
        <v>22000000</v>
      </c>
      <c r="S150" s="474"/>
      <c r="T150" s="92"/>
      <c r="U150" s="133"/>
      <c r="V150" s="136"/>
      <c r="W150" s="96" t="s">
        <v>113003</v>
      </c>
    </row>
    <row r="151" spans="2:23" ht="45" x14ac:dyDescent="0.2">
      <c r="B151" s="88"/>
      <c r="C151" s="89"/>
      <c r="D151" s="89"/>
      <c r="E151" s="89"/>
      <c r="F151" s="89"/>
      <c r="G151" s="89"/>
      <c r="H151" s="89"/>
      <c r="I151" s="89"/>
      <c r="J151" s="89"/>
      <c r="K151" s="96" t="s">
        <v>106997</v>
      </c>
      <c r="L151" s="91" t="s">
        <v>113446</v>
      </c>
      <c r="M151" s="92" t="s">
        <v>113447</v>
      </c>
      <c r="N151" s="93">
        <v>45761</v>
      </c>
      <c r="O151" s="93" t="s">
        <v>113087</v>
      </c>
      <c r="P151" s="94" t="s">
        <v>113028</v>
      </c>
      <c r="Q151" s="94" t="s">
        <v>112999</v>
      </c>
      <c r="R151" s="391">
        <v>50000000</v>
      </c>
      <c r="S151" s="474"/>
      <c r="T151" s="92"/>
      <c r="U151" s="133"/>
      <c r="V151" s="136"/>
      <c r="W151" s="96" t="s">
        <v>113003</v>
      </c>
    </row>
    <row r="152" spans="2:23" ht="58.5" customHeight="1" x14ac:dyDescent="0.2">
      <c r="B152" s="88"/>
      <c r="C152" s="89"/>
      <c r="D152" s="89"/>
      <c r="E152" s="89"/>
      <c r="F152" s="89"/>
      <c r="G152" s="89"/>
      <c r="H152" s="89"/>
      <c r="I152" s="89"/>
      <c r="J152" s="89"/>
      <c r="K152" s="96" t="s">
        <v>106997</v>
      </c>
      <c r="L152" s="55">
        <v>81111503</v>
      </c>
      <c r="M152" s="102" t="s">
        <v>113448</v>
      </c>
      <c r="N152" s="93">
        <v>45731</v>
      </c>
      <c r="O152" s="93" t="s">
        <v>113001</v>
      </c>
      <c r="P152" s="94" t="s">
        <v>112998</v>
      </c>
      <c r="Q152" s="94" t="s">
        <v>113052</v>
      </c>
      <c r="R152" s="391">
        <v>40000000</v>
      </c>
      <c r="S152" s="474"/>
      <c r="T152" s="92"/>
      <c r="U152" s="133"/>
      <c r="V152" s="136"/>
      <c r="W152" s="96" t="s">
        <v>113054</v>
      </c>
    </row>
    <row r="153" spans="2:23" ht="120" x14ac:dyDescent="0.2">
      <c r="B153" s="88"/>
      <c r="C153" s="89"/>
      <c r="D153" s="89"/>
      <c r="E153" s="89"/>
      <c r="F153" s="89"/>
      <c r="G153" s="89"/>
      <c r="H153" s="89"/>
      <c r="I153" s="89"/>
      <c r="J153" s="89"/>
      <c r="K153" s="96" t="s">
        <v>106997</v>
      </c>
      <c r="L153" s="91" t="s">
        <v>113266</v>
      </c>
      <c r="M153" s="92" t="s">
        <v>113267</v>
      </c>
      <c r="N153" s="93">
        <v>45666</v>
      </c>
      <c r="O153" s="93">
        <v>45666</v>
      </c>
      <c r="P153" s="94" t="s">
        <v>113200</v>
      </c>
      <c r="Q153" s="94" t="s">
        <v>113053</v>
      </c>
      <c r="R153" s="391">
        <v>62700000</v>
      </c>
      <c r="S153" s="472"/>
      <c r="T153" s="95"/>
      <c r="U153" s="133" t="s">
        <v>113031</v>
      </c>
      <c r="V153" s="126" t="s">
        <v>113031</v>
      </c>
      <c r="W153" s="400" t="s">
        <v>113075</v>
      </c>
    </row>
    <row r="154" spans="2:23" ht="135" x14ac:dyDescent="0.2">
      <c r="B154" s="88"/>
      <c r="C154" s="89"/>
      <c r="D154" s="89"/>
      <c r="E154" s="89"/>
      <c r="F154" s="89"/>
      <c r="G154" s="89"/>
      <c r="H154" s="89"/>
      <c r="I154" s="89"/>
      <c r="J154" s="89"/>
      <c r="K154" s="96" t="s">
        <v>106997</v>
      </c>
      <c r="L154" s="91" t="s">
        <v>113252</v>
      </c>
      <c r="M154" s="92" t="s">
        <v>113268</v>
      </c>
      <c r="N154" s="93">
        <v>45666</v>
      </c>
      <c r="O154" s="93">
        <v>45666</v>
      </c>
      <c r="P154" s="94" t="s">
        <v>113200</v>
      </c>
      <c r="Q154" s="94" t="s">
        <v>113053</v>
      </c>
      <c r="R154" s="391">
        <v>62700000</v>
      </c>
      <c r="S154" s="472"/>
      <c r="T154" s="95"/>
      <c r="U154" s="133" t="s">
        <v>113031</v>
      </c>
      <c r="V154" s="126" t="s">
        <v>113031</v>
      </c>
      <c r="W154" s="400" t="s">
        <v>113075</v>
      </c>
    </row>
    <row r="155" spans="2:23" ht="120" x14ac:dyDescent="0.2">
      <c r="B155" s="88"/>
      <c r="C155" s="89"/>
      <c r="D155" s="89"/>
      <c r="E155" s="89"/>
      <c r="F155" s="89"/>
      <c r="G155" s="89"/>
      <c r="H155" s="89"/>
      <c r="I155" s="89"/>
      <c r="J155" s="89"/>
      <c r="K155" s="96" t="s">
        <v>106997</v>
      </c>
      <c r="L155" s="91" t="s">
        <v>113266</v>
      </c>
      <c r="M155" s="92" t="s">
        <v>113267</v>
      </c>
      <c r="N155" s="93">
        <v>45666</v>
      </c>
      <c r="O155" s="93">
        <v>45666</v>
      </c>
      <c r="P155" s="94" t="s">
        <v>113200</v>
      </c>
      <c r="Q155" s="94" t="s">
        <v>113053</v>
      </c>
      <c r="R155" s="391">
        <v>62700000</v>
      </c>
      <c r="S155" s="472"/>
      <c r="T155" s="95"/>
      <c r="U155" s="133" t="s">
        <v>113031</v>
      </c>
      <c r="V155" s="126" t="s">
        <v>113031</v>
      </c>
      <c r="W155" s="400" t="s">
        <v>113075</v>
      </c>
    </row>
    <row r="156" spans="2:23" ht="135" x14ac:dyDescent="0.2">
      <c r="B156" s="88"/>
      <c r="C156" s="89"/>
      <c r="D156" s="89"/>
      <c r="E156" s="89"/>
      <c r="F156" s="89"/>
      <c r="G156" s="89"/>
      <c r="H156" s="89"/>
      <c r="I156" s="89"/>
      <c r="J156" s="89"/>
      <c r="K156" s="96" t="s">
        <v>106997</v>
      </c>
      <c r="L156" s="91" t="s">
        <v>113252</v>
      </c>
      <c r="M156" s="92" t="s">
        <v>113268</v>
      </c>
      <c r="N156" s="93">
        <v>45666</v>
      </c>
      <c r="O156" s="93">
        <v>45666</v>
      </c>
      <c r="P156" s="94" t="s">
        <v>113200</v>
      </c>
      <c r="Q156" s="94" t="s">
        <v>113053</v>
      </c>
      <c r="R156" s="391">
        <v>62700000</v>
      </c>
      <c r="S156" s="472"/>
      <c r="T156" s="95"/>
      <c r="U156" s="133" t="s">
        <v>113031</v>
      </c>
      <c r="V156" s="126" t="s">
        <v>113031</v>
      </c>
      <c r="W156" s="400" t="s">
        <v>113075</v>
      </c>
    </row>
    <row r="157" spans="2:23" ht="120" x14ac:dyDescent="0.2">
      <c r="B157" s="88"/>
      <c r="C157" s="89"/>
      <c r="D157" s="89"/>
      <c r="E157" s="89"/>
      <c r="F157" s="89"/>
      <c r="G157" s="89"/>
      <c r="H157" s="89"/>
      <c r="I157" s="89"/>
      <c r="J157" s="89"/>
      <c r="K157" s="96" t="s">
        <v>106997</v>
      </c>
      <c r="L157" s="91" t="s">
        <v>113266</v>
      </c>
      <c r="M157" s="92" t="s">
        <v>113269</v>
      </c>
      <c r="N157" s="93">
        <v>45666</v>
      </c>
      <c r="O157" s="93">
        <v>45666</v>
      </c>
      <c r="P157" s="94" t="s">
        <v>113200</v>
      </c>
      <c r="Q157" s="94" t="s">
        <v>113053</v>
      </c>
      <c r="R157" s="391">
        <v>45100000</v>
      </c>
      <c r="S157" s="472"/>
      <c r="T157" s="95"/>
      <c r="U157" s="133" t="s">
        <v>113031</v>
      </c>
      <c r="V157" s="126" t="s">
        <v>113031</v>
      </c>
      <c r="W157" s="400" t="s">
        <v>113075</v>
      </c>
    </row>
    <row r="158" spans="2:23" ht="135" x14ac:dyDescent="0.2">
      <c r="B158" s="88"/>
      <c r="C158" s="89"/>
      <c r="D158" s="89"/>
      <c r="E158" s="89"/>
      <c r="F158" s="89"/>
      <c r="G158" s="89"/>
      <c r="H158" s="89"/>
      <c r="I158" s="89"/>
      <c r="J158" s="89"/>
      <c r="K158" s="96" t="s">
        <v>106997</v>
      </c>
      <c r="L158" s="91" t="s">
        <v>113252</v>
      </c>
      <c r="M158" s="92" t="s">
        <v>113268</v>
      </c>
      <c r="N158" s="93">
        <v>45666</v>
      </c>
      <c r="O158" s="93">
        <v>45666</v>
      </c>
      <c r="P158" s="94" t="s">
        <v>113200</v>
      </c>
      <c r="Q158" s="94" t="s">
        <v>113053</v>
      </c>
      <c r="R158" s="391">
        <v>62700000</v>
      </c>
      <c r="S158" s="472"/>
      <c r="T158" s="95"/>
      <c r="U158" s="133" t="s">
        <v>113031</v>
      </c>
      <c r="V158" s="126" t="s">
        <v>113031</v>
      </c>
      <c r="W158" s="400" t="s">
        <v>113075</v>
      </c>
    </row>
    <row r="159" spans="2:23" ht="60" x14ac:dyDescent="0.2">
      <c r="B159" s="88"/>
      <c r="C159" s="89"/>
      <c r="D159" s="89"/>
      <c r="E159" s="89"/>
      <c r="F159" s="89"/>
      <c r="G159" s="89"/>
      <c r="H159" s="89"/>
      <c r="I159" s="89"/>
      <c r="J159" s="89"/>
      <c r="K159" s="96" t="s">
        <v>106997</v>
      </c>
      <c r="L159" s="91" t="s">
        <v>113509</v>
      </c>
      <c r="M159" s="102" t="s">
        <v>113510</v>
      </c>
      <c r="N159" s="445">
        <v>45818</v>
      </c>
      <c r="O159" s="133" t="s">
        <v>113369</v>
      </c>
      <c r="P159" s="133" t="s">
        <v>113511</v>
      </c>
      <c r="Q159" s="446" t="s">
        <v>113071</v>
      </c>
      <c r="R159" s="463">
        <v>25000000</v>
      </c>
      <c r="S159" s="475"/>
      <c r="T159" s="133"/>
      <c r="U159" s="133"/>
      <c r="V159" s="136"/>
      <c r="W159" s="96" t="s">
        <v>113019</v>
      </c>
    </row>
    <row r="160" spans="2:23" x14ac:dyDescent="0.2">
      <c r="B160" s="88"/>
      <c r="C160" s="89"/>
      <c r="D160" s="89"/>
      <c r="E160" s="89"/>
      <c r="F160" s="89"/>
      <c r="G160" s="89"/>
      <c r="H160" s="89"/>
      <c r="I160" s="89"/>
      <c r="J160" s="89"/>
      <c r="K160" s="96" t="s">
        <v>106997</v>
      </c>
      <c r="L160" s="55"/>
      <c r="M160" s="92"/>
      <c r="N160" s="93"/>
      <c r="O160" s="93"/>
      <c r="P160" s="94"/>
      <c r="Q160" s="94"/>
      <c r="R160" s="95"/>
      <c r="S160" s="474"/>
      <c r="T160" s="92"/>
      <c r="U160" s="133"/>
      <c r="V160" s="136"/>
      <c r="W160" s="400"/>
    </row>
    <row r="161" spans="2:23" x14ac:dyDescent="0.2">
      <c r="B161" s="88"/>
      <c r="C161" s="89"/>
      <c r="D161" s="89"/>
      <c r="E161" s="89"/>
      <c r="F161" s="89"/>
      <c r="G161" s="89"/>
      <c r="H161" s="89"/>
      <c r="I161" s="89"/>
      <c r="J161" s="89"/>
      <c r="K161" s="96" t="s">
        <v>106997</v>
      </c>
      <c r="L161" s="55"/>
      <c r="M161" s="92"/>
      <c r="N161" s="93"/>
      <c r="O161" s="93"/>
      <c r="P161" s="94"/>
      <c r="Q161" s="94"/>
      <c r="R161" s="95"/>
      <c r="S161" s="474"/>
      <c r="T161" s="92"/>
      <c r="U161" s="133"/>
      <c r="V161" s="136"/>
      <c r="W161" s="400"/>
    </row>
    <row r="162" spans="2:23" x14ac:dyDescent="0.2">
      <c r="B162" s="88"/>
      <c r="C162" s="89"/>
      <c r="D162" s="89"/>
      <c r="E162" s="89"/>
      <c r="F162" s="89"/>
      <c r="G162" s="89"/>
      <c r="H162" s="89"/>
      <c r="I162" s="89"/>
      <c r="J162" s="89"/>
      <c r="K162" s="96" t="s">
        <v>106997</v>
      </c>
      <c r="L162" s="55"/>
      <c r="M162" s="92"/>
      <c r="N162" s="93"/>
      <c r="O162" s="93"/>
      <c r="P162" s="94"/>
      <c r="Q162" s="94"/>
      <c r="R162" s="95"/>
      <c r="S162" s="474"/>
      <c r="T162" s="92"/>
      <c r="U162" s="133"/>
      <c r="V162" s="136"/>
      <c r="W162" s="400"/>
    </row>
    <row r="163" spans="2:23" ht="110.25" customHeight="1" x14ac:dyDescent="0.2">
      <c r="B163" s="88"/>
      <c r="C163" s="89"/>
      <c r="D163" s="89"/>
      <c r="E163" s="89"/>
      <c r="F163" s="89"/>
      <c r="G163" s="89"/>
      <c r="H163" s="89"/>
      <c r="I163" s="89"/>
      <c r="J163" s="89"/>
      <c r="K163" s="96" t="s">
        <v>106997</v>
      </c>
      <c r="L163" s="204"/>
      <c r="M163" s="131"/>
      <c r="N163" s="93"/>
      <c r="O163" s="93"/>
      <c r="P163" s="94"/>
      <c r="Q163" s="94"/>
      <c r="R163" s="95"/>
      <c r="S163" s="474"/>
      <c r="T163" s="92"/>
      <c r="U163" s="137"/>
      <c r="V163" s="104"/>
      <c r="W163" s="400"/>
    </row>
    <row r="164" spans="2:23" x14ac:dyDescent="0.2">
      <c r="B164" s="80" t="s">
        <v>105516</v>
      </c>
      <c r="C164" s="80" t="s">
        <v>105573</v>
      </c>
      <c r="D164" s="80" t="s">
        <v>105573</v>
      </c>
      <c r="E164" s="80" t="s">
        <v>105573</v>
      </c>
      <c r="F164" s="80" t="s">
        <v>105553</v>
      </c>
      <c r="G164" s="80" t="s">
        <v>105538</v>
      </c>
      <c r="H164" s="80" t="s">
        <v>105520</v>
      </c>
      <c r="I164" s="80" t="s">
        <v>105579</v>
      </c>
      <c r="J164" s="416"/>
      <c r="K164" s="80"/>
      <c r="L164" s="436"/>
      <c r="M164" s="304" t="s">
        <v>113219</v>
      </c>
      <c r="N164" s="83"/>
      <c r="O164" s="83"/>
      <c r="P164" s="84"/>
      <c r="Q164" s="111"/>
      <c r="R164" s="85">
        <f>+R165</f>
        <v>10000000</v>
      </c>
      <c r="S164" s="471">
        <v>10000000</v>
      </c>
      <c r="T164" s="85"/>
      <c r="U164" s="86"/>
      <c r="V164" s="86"/>
      <c r="W164" s="341"/>
    </row>
    <row r="165" spans="2:23" ht="90" x14ac:dyDescent="0.2">
      <c r="B165" s="88"/>
      <c r="C165" s="89"/>
      <c r="D165" s="89"/>
      <c r="E165" s="89"/>
      <c r="F165" s="89"/>
      <c r="G165" s="89"/>
      <c r="H165" s="89"/>
      <c r="I165" s="89"/>
      <c r="J165" s="89"/>
      <c r="K165" s="96" t="s">
        <v>106997</v>
      </c>
      <c r="L165" s="55">
        <v>80101500</v>
      </c>
      <c r="M165" s="92" t="s">
        <v>113373</v>
      </c>
      <c r="N165" s="93">
        <v>45930</v>
      </c>
      <c r="O165" s="93" t="s">
        <v>113070</v>
      </c>
      <c r="P165" s="94" t="s">
        <v>112998</v>
      </c>
      <c r="Q165" s="94" t="s">
        <v>113071</v>
      </c>
      <c r="R165" s="99">
        <v>10000000</v>
      </c>
      <c r="S165" s="472"/>
      <c r="T165" s="95"/>
      <c r="U165" s="96"/>
      <c r="V165" s="97"/>
      <c r="W165" s="398" t="s">
        <v>113012</v>
      </c>
    </row>
    <row r="166" spans="2:23" ht="30" x14ac:dyDescent="0.2">
      <c r="B166" s="80" t="s">
        <v>105516</v>
      </c>
      <c r="C166" s="80" t="s">
        <v>105573</v>
      </c>
      <c r="D166" s="80" t="s">
        <v>105573</v>
      </c>
      <c r="E166" s="80" t="s">
        <v>105573</v>
      </c>
      <c r="F166" s="80" t="s">
        <v>105553</v>
      </c>
      <c r="G166" s="80" t="s">
        <v>105538</v>
      </c>
      <c r="H166" s="80" t="s">
        <v>105520</v>
      </c>
      <c r="I166" s="80" t="s">
        <v>106211</v>
      </c>
      <c r="J166" s="416"/>
      <c r="K166" s="80"/>
      <c r="L166" s="436"/>
      <c r="M166" s="82" t="s">
        <v>113220</v>
      </c>
      <c r="N166" s="83"/>
      <c r="O166" s="83"/>
      <c r="P166" s="84"/>
      <c r="Q166" s="84"/>
      <c r="R166" s="85">
        <f>SUM(R167:R182)</f>
        <v>128909000</v>
      </c>
      <c r="S166" s="471">
        <v>102395666</v>
      </c>
      <c r="T166" s="85"/>
      <c r="U166" s="86"/>
      <c r="V166" s="86"/>
      <c r="W166" s="341"/>
    </row>
    <row r="167" spans="2:23" ht="30" x14ac:dyDescent="0.2">
      <c r="B167" s="88"/>
      <c r="C167" s="89"/>
      <c r="D167" s="89"/>
      <c r="E167" s="89"/>
      <c r="F167" s="89"/>
      <c r="G167" s="89"/>
      <c r="H167" s="89"/>
      <c r="I167" s="89"/>
      <c r="J167" s="89"/>
      <c r="K167" s="96" t="s">
        <v>106997</v>
      </c>
      <c r="L167" s="91">
        <v>80111600</v>
      </c>
      <c r="M167" s="102" t="s">
        <v>113272</v>
      </c>
      <c r="N167" s="93">
        <v>45666</v>
      </c>
      <c r="O167" s="93" t="s">
        <v>113060</v>
      </c>
      <c r="P167" s="94" t="s">
        <v>113011</v>
      </c>
      <c r="Q167" s="94" t="s">
        <v>113053</v>
      </c>
      <c r="R167" s="391">
        <v>96909000</v>
      </c>
      <c r="S167" s="476"/>
      <c r="T167" s="92"/>
      <c r="U167" s="133"/>
      <c r="V167" s="136"/>
      <c r="W167" s="96" t="s">
        <v>113054</v>
      </c>
    </row>
    <row r="168" spans="2:23" ht="60" x14ac:dyDescent="0.2">
      <c r="B168" s="88"/>
      <c r="C168" s="89"/>
      <c r="D168" s="89"/>
      <c r="E168" s="89"/>
      <c r="F168" s="89"/>
      <c r="G168" s="89"/>
      <c r="H168" s="89"/>
      <c r="I168" s="89"/>
      <c r="J168" s="89"/>
      <c r="K168" s="96" t="s">
        <v>106997</v>
      </c>
      <c r="L168" s="91">
        <v>80161500</v>
      </c>
      <c r="M168" s="92" t="s">
        <v>113449</v>
      </c>
      <c r="N168" s="93">
        <v>45749</v>
      </c>
      <c r="O168" s="93" t="s">
        <v>113006</v>
      </c>
      <c r="P168" s="94" t="s">
        <v>113002</v>
      </c>
      <c r="Q168" s="132" t="s">
        <v>113053</v>
      </c>
      <c r="R168" s="391">
        <v>32000000</v>
      </c>
      <c r="S168" s="476"/>
      <c r="T168" s="92"/>
      <c r="U168" s="133"/>
      <c r="V168" s="136"/>
      <c r="W168" s="96" t="s">
        <v>113054</v>
      </c>
    </row>
    <row r="169" spans="2:23" x14ac:dyDescent="0.2">
      <c r="B169" s="88"/>
      <c r="C169" s="89"/>
      <c r="D169" s="89"/>
      <c r="E169" s="89"/>
      <c r="F169" s="89"/>
      <c r="G169" s="89"/>
      <c r="H169" s="89"/>
      <c r="I169" s="89"/>
      <c r="J169" s="89"/>
      <c r="K169" s="96" t="s">
        <v>106997</v>
      </c>
      <c r="L169" s="91"/>
      <c r="M169" s="92"/>
      <c r="N169" s="93"/>
      <c r="O169" s="93"/>
      <c r="P169" s="94"/>
      <c r="Q169" s="94"/>
      <c r="R169" s="118"/>
      <c r="S169" s="477"/>
      <c r="T169" s="118"/>
      <c r="U169" s="96"/>
      <c r="V169" s="97"/>
      <c r="W169" s="96"/>
    </row>
    <row r="170" spans="2:23" x14ac:dyDescent="0.2">
      <c r="B170" s="88"/>
      <c r="C170" s="89"/>
      <c r="D170" s="89"/>
      <c r="E170" s="89"/>
      <c r="F170" s="89"/>
      <c r="G170" s="89"/>
      <c r="H170" s="89"/>
      <c r="I170" s="89"/>
      <c r="J170" s="89"/>
      <c r="K170" s="96" t="s">
        <v>106997</v>
      </c>
      <c r="L170" s="91"/>
      <c r="M170" s="92"/>
      <c r="N170" s="93"/>
      <c r="O170" s="93"/>
      <c r="P170" s="94"/>
      <c r="Q170" s="94"/>
      <c r="R170" s="118"/>
      <c r="S170" s="477"/>
      <c r="T170" s="118"/>
      <c r="U170" s="96"/>
      <c r="V170" s="97"/>
      <c r="W170" s="96"/>
    </row>
    <row r="171" spans="2:23" x14ac:dyDescent="0.2">
      <c r="B171" s="88"/>
      <c r="C171" s="89"/>
      <c r="D171" s="89"/>
      <c r="E171" s="89"/>
      <c r="F171" s="89"/>
      <c r="G171" s="89"/>
      <c r="H171" s="89"/>
      <c r="I171" s="89"/>
      <c r="J171" s="89"/>
      <c r="K171" s="96" t="s">
        <v>106997</v>
      </c>
      <c r="L171" s="91"/>
      <c r="M171" s="92"/>
      <c r="N171" s="93"/>
      <c r="O171" s="93"/>
      <c r="P171" s="94"/>
      <c r="Q171" s="94"/>
      <c r="R171" s="118"/>
      <c r="S171" s="477"/>
      <c r="T171" s="118"/>
      <c r="U171" s="96"/>
      <c r="V171" s="97"/>
      <c r="W171" s="96"/>
    </row>
    <row r="172" spans="2:23" x14ac:dyDescent="0.2">
      <c r="B172" s="88"/>
      <c r="C172" s="89"/>
      <c r="D172" s="89"/>
      <c r="E172" s="89"/>
      <c r="F172" s="89"/>
      <c r="G172" s="89"/>
      <c r="H172" s="89"/>
      <c r="I172" s="89"/>
      <c r="J172" s="89"/>
      <c r="K172" s="96" t="s">
        <v>106997</v>
      </c>
      <c r="L172" s="91"/>
      <c r="M172" s="102"/>
      <c r="N172" s="93"/>
      <c r="O172" s="93"/>
      <c r="P172" s="94"/>
      <c r="Q172" s="94"/>
      <c r="R172" s="118"/>
      <c r="S172" s="477"/>
      <c r="T172" s="118"/>
      <c r="U172" s="96"/>
      <c r="V172" s="97"/>
      <c r="W172" s="96"/>
    </row>
    <row r="173" spans="2:23" x14ac:dyDescent="0.2">
      <c r="B173" s="88"/>
      <c r="C173" s="89"/>
      <c r="D173" s="89"/>
      <c r="E173" s="89"/>
      <c r="F173" s="89"/>
      <c r="G173" s="89"/>
      <c r="H173" s="89"/>
      <c r="I173" s="89"/>
      <c r="J173" s="89"/>
      <c r="K173" s="96" t="s">
        <v>106997</v>
      </c>
      <c r="L173" s="91"/>
      <c r="M173" s="92"/>
      <c r="N173" s="93"/>
      <c r="O173" s="93"/>
      <c r="P173" s="94"/>
      <c r="Q173" s="94"/>
      <c r="R173" s="95"/>
      <c r="S173" s="472"/>
      <c r="T173" s="95"/>
      <c r="U173" s="96"/>
      <c r="V173" s="141"/>
      <c r="W173" s="96"/>
    </row>
    <row r="174" spans="2:23" x14ac:dyDescent="0.2">
      <c r="B174" s="88"/>
      <c r="C174" s="89"/>
      <c r="D174" s="89"/>
      <c r="E174" s="89"/>
      <c r="F174" s="89"/>
      <c r="G174" s="89"/>
      <c r="H174" s="89"/>
      <c r="I174" s="89"/>
      <c r="J174" s="89"/>
      <c r="K174" s="96" t="s">
        <v>106997</v>
      </c>
      <c r="L174" s="91"/>
      <c r="M174" s="92"/>
      <c r="N174" s="93"/>
      <c r="O174" s="93"/>
      <c r="P174" s="94"/>
      <c r="Q174" s="94"/>
      <c r="R174" s="95"/>
      <c r="S174" s="472"/>
      <c r="T174" s="95"/>
      <c r="U174" s="96"/>
      <c r="V174" s="141"/>
      <c r="W174" s="96"/>
    </row>
    <row r="175" spans="2:23" x14ac:dyDescent="0.2">
      <c r="B175" s="88"/>
      <c r="C175" s="89"/>
      <c r="D175" s="89"/>
      <c r="E175" s="89"/>
      <c r="F175" s="89"/>
      <c r="G175" s="89"/>
      <c r="H175" s="89"/>
      <c r="I175" s="89"/>
      <c r="J175" s="89"/>
      <c r="K175" s="96" t="s">
        <v>106997</v>
      </c>
      <c r="L175" s="91"/>
      <c r="M175" s="92"/>
      <c r="N175" s="93"/>
      <c r="O175" s="93"/>
      <c r="P175" s="94"/>
      <c r="Q175" s="94"/>
      <c r="R175" s="95"/>
      <c r="S175" s="472"/>
      <c r="T175" s="95"/>
      <c r="U175" s="96"/>
      <c r="V175" s="141"/>
      <c r="W175" s="96"/>
    </row>
    <row r="176" spans="2:23" x14ac:dyDescent="0.2">
      <c r="B176" s="88"/>
      <c r="C176" s="89"/>
      <c r="D176" s="89"/>
      <c r="E176" s="89"/>
      <c r="F176" s="89"/>
      <c r="G176" s="89"/>
      <c r="H176" s="89"/>
      <c r="I176" s="89"/>
      <c r="J176" s="89"/>
      <c r="K176" s="96" t="s">
        <v>106997</v>
      </c>
      <c r="L176" s="91"/>
      <c r="M176" s="100"/>
      <c r="N176" s="93"/>
      <c r="O176" s="93"/>
      <c r="P176" s="94"/>
      <c r="Q176" s="94"/>
      <c r="R176" s="118"/>
      <c r="S176" s="477"/>
      <c r="T176" s="118"/>
      <c r="U176" s="103"/>
      <c r="V176" s="141"/>
      <c r="W176" s="96"/>
    </row>
    <row r="177" spans="2:23" x14ac:dyDescent="0.2">
      <c r="B177" s="88"/>
      <c r="C177" s="89"/>
      <c r="D177" s="89"/>
      <c r="E177" s="89"/>
      <c r="F177" s="89"/>
      <c r="G177" s="89"/>
      <c r="H177" s="89"/>
      <c r="I177" s="89"/>
      <c r="J177" s="89"/>
      <c r="K177" s="96" t="s">
        <v>106997</v>
      </c>
      <c r="L177" s="55"/>
      <c r="M177" s="102"/>
      <c r="N177" s="93"/>
      <c r="O177" s="93"/>
      <c r="P177" s="94"/>
      <c r="Q177" s="94"/>
      <c r="R177" s="95"/>
      <c r="S177" s="472"/>
      <c r="T177" s="95"/>
      <c r="U177" s="96"/>
      <c r="V177" s="97"/>
      <c r="W177" s="96"/>
    </row>
    <row r="178" spans="2:23" x14ac:dyDescent="0.2">
      <c r="B178" s="88"/>
      <c r="C178" s="89"/>
      <c r="D178" s="89"/>
      <c r="E178" s="89"/>
      <c r="F178" s="89"/>
      <c r="G178" s="89"/>
      <c r="H178" s="89"/>
      <c r="I178" s="89"/>
      <c r="J178" s="89"/>
      <c r="K178" s="96" t="s">
        <v>106997</v>
      </c>
      <c r="L178" s="55"/>
      <c r="M178" s="92"/>
      <c r="N178" s="93"/>
      <c r="O178" s="93"/>
      <c r="P178" s="94"/>
      <c r="Q178" s="94"/>
      <c r="R178" s="95"/>
      <c r="S178" s="472"/>
      <c r="T178" s="95"/>
      <c r="U178" s="96"/>
      <c r="V178" s="97"/>
      <c r="W178" s="96"/>
    </row>
    <row r="179" spans="2:23" x14ac:dyDescent="0.2">
      <c r="B179" s="88"/>
      <c r="C179" s="89"/>
      <c r="D179" s="89"/>
      <c r="E179" s="89"/>
      <c r="F179" s="89"/>
      <c r="G179" s="89"/>
      <c r="H179" s="89"/>
      <c r="I179" s="89"/>
      <c r="J179" s="89"/>
      <c r="K179" s="96" t="s">
        <v>106997</v>
      </c>
      <c r="L179" s="55"/>
      <c r="M179" s="102"/>
      <c r="N179" s="93"/>
      <c r="O179" s="93"/>
      <c r="P179" s="94"/>
      <c r="Q179" s="94"/>
      <c r="R179" s="95"/>
      <c r="S179" s="472"/>
      <c r="T179" s="95"/>
      <c r="U179" s="96"/>
      <c r="V179" s="97"/>
      <c r="W179" s="96"/>
    </row>
    <row r="180" spans="2:23" x14ac:dyDescent="0.2">
      <c r="B180" s="88"/>
      <c r="C180" s="89"/>
      <c r="D180" s="89"/>
      <c r="E180" s="89"/>
      <c r="F180" s="89"/>
      <c r="G180" s="89"/>
      <c r="H180" s="89"/>
      <c r="I180" s="89"/>
      <c r="J180" s="89"/>
      <c r="K180" s="96" t="s">
        <v>106997</v>
      </c>
      <c r="L180" s="55"/>
      <c r="M180" s="102"/>
      <c r="N180" s="93"/>
      <c r="O180" s="93"/>
      <c r="P180" s="94"/>
      <c r="Q180" s="94"/>
      <c r="R180" s="95"/>
      <c r="S180" s="472"/>
      <c r="T180" s="95"/>
      <c r="U180" s="96"/>
      <c r="V180" s="97"/>
      <c r="W180" s="96"/>
    </row>
    <row r="181" spans="2:23" x14ac:dyDescent="0.2">
      <c r="B181" s="88"/>
      <c r="C181" s="89"/>
      <c r="D181" s="89"/>
      <c r="E181" s="89"/>
      <c r="F181" s="89"/>
      <c r="G181" s="89"/>
      <c r="H181" s="89"/>
      <c r="I181" s="89"/>
      <c r="J181" s="89"/>
      <c r="K181" s="96" t="s">
        <v>106997</v>
      </c>
      <c r="L181" s="55"/>
      <c r="M181" s="102"/>
      <c r="N181" s="93"/>
      <c r="O181" s="93"/>
      <c r="P181" s="94"/>
      <c r="Q181" s="94"/>
      <c r="R181" s="95"/>
      <c r="S181" s="472"/>
      <c r="T181" s="95"/>
      <c r="U181" s="96"/>
      <c r="V181" s="97"/>
      <c r="W181" s="96"/>
    </row>
    <row r="182" spans="2:23" x14ac:dyDescent="0.2">
      <c r="B182" s="88"/>
      <c r="C182" s="89"/>
      <c r="D182" s="89"/>
      <c r="E182" s="89"/>
      <c r="F182" s="89"/>
      <c r="G182" s="89"/>
      <c r="H182" s="89"/>
      <c r="I182" s="89"/>
      <c r="J182" s="89"/>
      <c r="K182" s="96" t="s">
        <v>106997</v>
      </c>
      <c r="L182" s="55"/>
      <c r="M182" s="92"/>
      <c r="N182" s="93"/>
      <c r="O182" s="93"/>
      <c r="P182" s="94"/>
      <c r="Q182" s="94"/>
      <c r="R182" s="95"/>
      <c r="S182" s="472"/>
      <c r="T182" s="95"/>
      <c r="U182" s="96"/>
      <c r="V182" s="97"/>
      <c r="W182" s="96"/>
    </row>
    <row r="183" spans="2:23" ht="30" x14ac:dyDescent="0.2">
      <c r="B183" s="72" t="s">
        <v>105516</v>
      </c>
      <c r="C183" s="72" t="s">
        <v>105573</v>
      </c>
      <c r="D183" s="72" t="s">
        <v>105573</v>
      </c>
      <c r="E183" s="72" t="s">
        <v>105573</v>
      </c>
      <c r="F183" s="72" t="s">
        <v>105553</v>
      </c>
      <c r="G183" s="72" t="s">
        <v>105541</v>
      </c>
      <c r="H183" s="72"/>
      <c r="I183" s="72"/>
      <c r="J183" s="415"/>
      <c r="K183" s="72"/>
      <c r="L183" s="73"/>
      <c r="M183" s="74" t="s">
        <v>107040</v>
      </c>
      <c r="N183" s="75"/>
      <c r="O183" s="75"/>
      <c r="P183" s="76"/>
      <c r="Q183" s="76"/>
      <c r="R183" s="77">
        <f>+R184+R188</f>
        <v>83000000</v>
      </c>
      <c r="S183" s="470">
        <f>S184+S188</f>
        <v>58320000</v>
      </c>
      <c r="T183" s="77"/>
      <c r="U183" s="78"/>
      <c r="V183" s="78"/>
      <c r="W183" s="72"/>
    </row>
    <row r="184" spans="2:23" x14ac:dyDescent="0.2">
      <c r="B184" s="80" t="s">
        <v>105516</v>
      </c>
      <c r="C184" s="80" t="s">
        <v>105573</v>
      </c>
      <c r="D184" s="80" t="s">
        <v>105573</v>
      </c>
      <c r="E184" s="80" t="s">
        <v>105573</v>
      </c>
      <c r="F184" s="80" t="s">
        <v>105553</v>
      </c>
      <c r="G184" s="80" t="s">
        <v>105541</v>
      </c>
      <c r="H184" s="80" t="s">
        <v>105520</v>
      </c>
      <c r="I184" s="80"/>
      <c r="J184" s="416"/>
      <c r="K184" s="80"/>
      <c r="L184" s="436"/>
      <c r="M184" s="82" t="s">
        <v>107042</v>
      </c>
      <c r="N184" s="83"/>
      <c r="O184" s="83"/>
      <c r="P184" s="84"/>
      <c r="Q184" s="84"/>
      <c r="R184" s="85">
        <f>SUM(R185+R186+R187)</f>
        <v>58000000</v>
      </c>
      <c r="S184" s="471">
        <v>49800000</v>
      </c>
      <c r="T184" s="85"/>
      <c r="U184" s="86"/>
      <c r="V184" s="86"/>
      <c r="W184" s="341"/>
    </row>
    <row r="185" spans="2:23" ht="18" customHeight="1" x14ac:dyDescent="0.2">
      <c r="B185" s="88"/>
      <c r="C185" s="89"/>
      <c r="D185" s="89"/>
      <c r="E185" s="89"/>
      <c r="F185" s="89"/>
      <c r="G185" s="89"/>
      <c r="H185" s="89"/>
      <c r="I185" s="89"/>
      <c r="J185" s="89"/>
      <c r="K185" s="96" t="s">
        <v>107039</v>
      </c>
      <c r="L185" s="55"/>
      <c r="M185" s="102" t="s">
        <v>113099</v>
      </c>
      <c r="N185" s="93">
        <v>45659</v>
      </c>
      <c r="O185" s="93" t="s">
        <v>113060</v>
      </c>
      <c r="P185" s="132" t="s">
        <v>113068</v>
      </c>
      <c r="Q185" s="94" t="s">
        <v>113031</v>
      </c>
      <c r="R185" s="95">
        <v>58000000</v>
      </c>
      <c r="S185" s="472"/>
      <c r="T185" s="95"/>
      <c r="U185" s="96"/>
      <c r="V185" s="129"/>
      <c r="W185" s="96" t="s">
        <v>113064</v>
      </c>
    </row>
    <row r="186" spans="2:23" x14ac:dyDescent="0.2">
      <c r="B186" s="88"/>
      <c r="C186" s="89"/>
      <c r="D186" s="89"/>
      <c r="E186" s="89"/>
      <c r="F186" s="89"/>
      <c r="G186" s="89"/>
      <c r="H186" s="89"/>
      <c r="I186" s="89"/>
      <c r="J186" s="89"/>
      <c r="K186" s="96" t="s">
        <v>107039</v>
      </c>
      <c r="L186" s="55"/>
      <c r="M186" s="102"/>
      <c r="N186" s="93"/>
      <c r="O186" s="93"/>
      <c r="P186" s="132"/>
      <c r="Q186" s="94"/>
      <c r="R186" s="95"/>
      <c r="S186" s="472"/>
      <c r="T186" s="95"/>
      <c r="U186" s="96"/>
      <c r="V186" s="97"/>
      <c r="W186" s="96"/>
    </row>
    <row r="187" spans="2:23" x14ac:dyDescent="0.2">
      <c r="B187" s="88"/>
      <c r="C187" s="89"/>
      <c r="D187" s="89"/>
      <c r="E187" s="89"/>
      <c r="F187" s="89"/>
      <c r="G187" s="89"/>
      <c r="H187" s="89"/>
      <c r="I187" s="89"/>
      <c r="J187" s="89"/>
      <c r="K187" s="96" t="s">
        <v>107039</v>
      </c>
      <c r="L187" s="55"/>
      <c r="M187" s="102"/>
      <c r="N187" s="93"/>
      <c r="O187" s="93"/>
      <c r="P187" s="94"/>
      <c r="Q187" s="94"/>
      <c r="R187" s="95"/>
      <c r="S187" s="472"/>
      <c r="T187" s="95"/>
      <c r="U187" s="96"/>
      <c r="V187" s="129"/>
      <c r="W187" s="96"/>
    </row>
    <row r="188" spans="2:23" x14ac:dyDescent="0.2">
      <c r="B188" s="80" t="s">
        <v>105516</v>
      </c>
      <c r="C188" s="80" t="s">
        <v>105573</v>
      </c>
      <c r="D188" s="80" t="s">
        <v>105573</v>
      </c>
      <c r="E188" s="80" t="s">
        <v>105573</v>
      </c>
      <c r="F188" s="80" t="s">
        <v>105553</v>
      </c>
      <c r="G188" s="80" t="s">
        <v>105541</v>
      </c>
      <c r="H188" s="80" t="s">
        <v>105573</v>
      </c>
      <c r="I188" s="80"/>
      <c r="J188" s="416"/>
      <c r="K188" s="80"/>
      <c r="L188" s="436"/>
      <c r="M188" s="304" t="s">
        <v>113229</v>
      </c>
      <c r="N188" s="83"/>
      <c r="O188" s="83"/>
      <c r="P188" s="84"/>
      <c r="Q188" s="84"/>
      <c r="R188" s="85">
        <f>SUM(R189+R190)</f>
        <v>25000000</v>
      </c>
      <c r="S188" s="471">
        <v>8520000</v>
      </c>
      <c r="T188" s="85"/>
      <c r="U188" s="86"/>
      <c r="V188" s="86"/>
      <c r="W188" s="341"/>
    </row>
    <row r="189" spans="2:23" x14ac:dyDescent="0.2">
      <c r="B189" s="90"/>
      <c r="C189" s="90"/>
      <c r="D189" s="90"/>
      <c r="E189" s="90"/>
      <c r="F189" s="90"/>
      <c r="G189" s="90"/>
      <c r="H189" s="90"/>
      <c r="I189" s="90"/>
      <c r="J189" s="89"/>
      <c r="K189" s="96" t="s">
        <v>107039</v>
      </c>
      <c r="L189" s="55">
        <v>81112100</v>
      </c>
      <c r="M189" s="92" t="s">
        <v>113451</v>
      </c>
      <c r="N189" s="93">
        <v>45659</v>
      </c>
      <c r="O189" s="93" t="s">
        <v>113060</v>
      </c>
      <c r="P189" s="132" t="s">
        <v>113068</v>
      </c>
      <c r="Q189" s="94" t="s">
        <v>113031</v>
      </c>
      <c r="R189" s="95">
        <v>25000000</v>
      </c>
      <c r="S189" s="472"/>
      <c r="T189" s="95"/>
      <c r="U189" s="96"/>
      <c r="V189" s="129"/>
      <c r="W189" s="96" t="s">
        <v>113003</v>
      </c>
    </row>
    <row r="190" spans="2:23" x14ac:dyDescent="0.2">
      <c r="B190" s="90"/>
      <c r="C190" s="90"/>
      <c r="D190" s="90"/>
      <c r="E190" s="90"/>
      <c r="F190" s="90"/>
      <c r="G190" s="90"/>
      <c r="H190" s="90"/>
      <c r="I190" s="90"/>
      <c r="J190" s="89"/>
      <c r="K190" s="96" t="s">
        <v>107039</v>
      </c>
      <c r="L190" s="55"/>
      <c r="M190" s="102"/>
      <c r="N190" s="93"/>
      <c r="O190" s="93"/>
      <c r="P190" s="132"/>
      <c r="Q190" s="94"/>
      <c r="R190" s="118"/>
      <c r="S190" s="477"/>
      <c r="T190" s="118"/>
      <c r="U190" s="96"/>
      <c r="V190" s="95"/>
      <c r="W190" s="96"/>
    </row>
    <row r="191" spans="2:23" x14ac:dyDescent="0.2">
      <c r="B191" s="72" t="s">
        <v>105516</v>
      </c>
      <c r="C191" s="72" t="s">
        <v>105573</v>
      </c>
      <c r="D191" s="72" t="s">
        <v>105573</v>
      </c>
      <c r="E191" s="72" t="s">
        <v>105573</v>
      </c>
      <c r="F191" s="72" t="s">
        <v>105553</v>
      </c>
      <c r="G191" s="143" t="s">
        <v>105544</v>
      </c>
      <c r="H191" s="72"/>
      <c r="I191" s="72"/>
      <c r="J191" s="415"/>
      <c r="K191" s="72"/>
      <c r="L191" s="73"/>
      <c r="M191" s="74" t="s">
        <v>107054</v>
      </c>
      <c r="N191" s="75"/>
      <c r="O191" s="75"/>
      <c r="P191" s="76"/>
      <c r="Q191" s="76"/>
      <c r="R191" s="77">
        <f>R192+R194</f>
        <v>40700000</v>
      </c>
      <c r="S191" s="470">
        <f>S192+S194</f>
        <v>75749628</v>
      </c>
      <c r="T191" s="77"/>
      <c r="U191" s="78"/>
      <c r="V191" s="78"/>
      <c r="W191" s="72"/>
    </row>
    <row r="192" spans="2:23" x14ac:dyDescent="0.2">
      <c r="B192" s="80" t="s">
        <v>105516</v>
      </c>
      <c r="C192" s="80" t="s">
        <v>105573</v>
      </c>
      <c r="D192" s="80" t="s">
        <v>105573</v>
      </c>
      <c r="E192" s="80" t="s">
        <v>105573</v>
      </c>
      <c r="F192" s="80" t="s">
        <v>105553</v>
      </c>
      <c r="G192" s="81" t="s">
        <v>105544</v>
      </c>
      <c r="H192" s="81" t="s">
        <v>105520</v>
      </c>
      <c r="I192" s="80"/>
      <c r="J192" s="416"/>
      <c r="K192" s="80"/>
      <c r="L192" s="436"/>
      <c r="M192" s="304" t="s">
        <v>107056</v>
      </c>
      <c r="N192" s="83"/>
      <c r="O192" s="83"/>
      <c r="P192" s="84"/>
      <c r="Q192" s="84"/>
      <c r="R192" s="85">
        <f>R193</f>
        <v>30000000</v>
      </c>
      <c r="S192" s="471">
        <v>65749628</v>
      </c>
      <c r="T192" s="85"/>
      <c r="U192" s="86"/>
      <c r="V192" s="86"/>
      <c r="W192" s="341"/>
    </row>
    <row r="193" spans="2:23" x14ac:dyDescent="0.2">
      <c r="B193" s="80"/>
      <c r="C193" s="80"/>
      <c r="D193" s="80"/>
      <c r="E193" s="80"/>
      <c r="F193" s="80"/>
      <c r="G193" s="81"/>
      <c r="H193" s="81"/>
      <c r="I193" s="80"/>
      <c r="J193" s="416"/>
      <c r="K193" s="96" t="s">
        <v>107053</v>
      </c>
      <c r="L193" s="91">
        <v>93141800</v>
      </c>
      <c r="M193" s="102" t="s">
        <v>113374</v>
      </c>
      <c r="N193" s="94" t="s">
        <v>113031</v>
      </c>
      <c r="O193" s="94" t="s">
        <v>113031</v>
      </c>
      <c r="P193" s="94" t="s">
        <v>113031</v>
      </c>
      <c r="Q193" s="94" t="s">
        <v>113031</v>
      </c>
      <c r="R193" s="95">
        <v>30000000</v>
      </c>
      <c r="S193" s="478"/>
      <c r="T193" s="392"/>
      <c r="U193" s="393"/>
      <c r="V193" s="393"/>
      <c r="W193" s="398" t="s">
        <v>113012</v>
      </c>
    </row>
    <row r="194" spans="2:23" x14ac:dyDescent="0.2">
      <c r="B194" s="80" t="s">
        <v>105516</v>
      </c>
      <c r="C194" s="80" t="s">
        <v>105573</v>
      </c>
      <c r="D194" s="80" t="s">
        <v>105573</v>
      </c>
      <c r="E194" s="80" t="s">
        <v>105573</v>
      </c>
      <c r="F194" s="80" t="s">
        <v>105553</v>
      </c>
      <c r="G194" s="81" t="s">
        <v>105544</v>
      </c>
      <c r="H194" s="81" t="s">
        <v>106109</v>
      </c>
      <c r="I194" s="80"/>
      <c r="J194" s="416"/>
      <c r="K194" s="80"/>
      <c r="L194" s="436"/>
      <c r="M194" s="82" t="s">
        <v>107066</v>
      </c>
      <c r="N194" s="83"/>
      <c r="O194" s="83"/>
      <c r="P194" s="84"/>
      <c r="Q194" s="84"/>
      <c r="R194" s="85">
        <f>+R195</f>
        <v>10700000</v>
      </c>
      <c r="S194" s="471">
        <f>S195</f>
        <v>10000000</v>
      </c>
      <c r="T194" s="85"/>
      <c r="U194" s="86"/>
      <c r="V194" s="86"/>
      <c r="W194" s="341"/>
    </row>
    <row r="195" spans="2:23" x14ac:dyDescent="0.2">
      <c r="B195" s="80" t="s">
        <v>105516</v>
      </c>
      <c r="C195" s="80" t="s">
        <v>105573</v>
      </c>
      <c r="D195" s="80" t="s">
        <v>105573</v>
      </c>
      <c r="E195" s="80" t="s">
        <v>105573</v>
      </c>
      <c r="F195" s="80" t="s">
        <v>105553</v>
      </c>
      <c r="G195" s="81" t="s">
        <v>105544</v>
      </c>
      <c r="H195" s="81" t="s">
        <v>106109</v>
      </c>
      <c r="I195" s="80">
        <v>3</v>
      </c>
      <c r="J195" s="416"/>
      <c r="K195" s="80"/>
      <c r="L195" s="436"/>
      <c r="M195" s="304" t="s">
        <v>107072</v>
      </c>
      <c r="N195" s="83"/>
      <c r="O195" s="83"/>
      <c r="P195" s="84"/>
      <c r="Q195" s="84"/>
      <c r="R195" s="85">
        <f>+R196</f>
        <v>10700000</v>
      </c>
      <c r="S195" s="471">
        <v>10000000</v>
      </c>
      <c r="T195" s="85"/>
      <c r="U195" s="86"/>
      <c r="V195" s="86"/>
      <c r="W195" s="341"/>
    </row>
    <row r="196" spans="2:23" ht="30" x14ac:dyDescent="0.2">
      <c r="B196" s="88"/>
      <c r="C196" s="89"/>
      <c r="D196" s="89"/>
      <c r="E196" s="89"/>
      <c r="F196" s="89"/>
      <c r="G196" s="89"/>
      <c r="H196" s="89"/>
      <c r="I196" s="89"/>
      <c r="J196" s="89"/>
      <c r="K196" s="96" t="s">
        <v>107053</v>
      </c>
      <c r="L196" s="91" t="s">
        <v>113103</v>
      </c>
      <c r="M196" s="102" t="s">
        <v>113274</v>
      </c>
      <c r="N196" s="93">
        <v>45838</v>
      </c>
      <c r="O196" s="93" t="s">
        <v>112997</v>
      </c>
      <c r="P196" s="94" t="s">
        <v>113045</v>
      </c>
      <c r="Q196" s="94" t="s">
        <v>113053</v>
      </c>
      <c r="R196" s="95">
        <v>10700000</v>
      </c>
      <c r="S196" s="472"/>
      <c r="T196" s="95"/>
      <c r="U196" s="96" t="s">
        <v>106081</v>
      </c>
      <c r="V196" s="129"/>
      <c r="W196" s="96" t="s">
        <v>113029</v>
      </c>
    </row>
    <row r="197" spans="2:23" ht="30" x14ac:dyDescent="0.2">
      <c r="B197" s="72" t="s">
        <v>105516</v>
      </c>
      <c r="C197" s="72" t="s">
        <v>105573</v>
      </c>
      <c r="D197" s="72" t="s">
        <v>105573</v>
      </c>
      <c r="E197" s="72" t="s">
        <v>105573</v>
      </c>
      <c r="F197" s="72" t="s">
        <v>105553</v>
      </c>
      <c r="G197" s="72" t="s">
        <v>105550</v>
      </c>
      <c r="H197" s="72"/>
      <c r="I197" s="72"/>
      <c r="J197" s="415"/>
      <c r="K197" s="72"/>
      <c r="L197" s="73"/>
      <c r="M197" s="74" t="s">
        <v>107092</v>
      </c>
      <c r="N197" s="75"/>
      <c r="O197" s="75"/>
      <c r="P197" s="76"/>
      <c r="Q197" s="76"/>
      <c r="R197" s="77">
        <f>+R198</f>
        <v>217300000</v>
      </c>
      <c r="S197" s="470">
        <f>S198</f>
        <v>180912000</v>
      </c>
      <c r="T197" s="77"/>
      <c r="U197" s="78"/>
      <c r="V197" s="78"/>
      <c r="W197" s="72"/>
    </row>
    <row r="198" spans="2:23" ht="42" customHeight="1" x14ac:dyDescent="0.2">
      <c r="B198" s="80" t="s">
        <v>105516</v>
      </c>
      <c r="C198" s="80" t="s">
        <v>105573</v>
      </c>
      <c r="D198" s="80" t="s">
        <v>105573</v>
      </c>
      <c r="E198" s="80" t="s">
        <v>105573</v>
      </c>
      <c r="F198" s="80" t="s">
        <v>105553</v>
      </c>
      <c r="G198" s="80" t="s">
        <v>105550</v>
      </c>
      <c r="H198" s="80" t="s">
        <v>105520</v>
      </c>
      <c r="I198" s="80"/>
      <c r="J198" s="416"/>
      <c r="K198" s="80"/>
      <c r="L198" s="436"/>
      <c r="M198" s="82" t="s">
        <v>107094</v>
      </c>
      <c r="N198" s="83"/>
      <c r="O198" s="83"/>
      <c r="P198" s="84"/>
      <c r="Q198" s="84"/>
      <c r="R198" s="85">
        <f>+R199+R201+R205</f>
        <v>217300000</v>
      </c>
      <c r="S198" s="471">
        <f>S199+S201+S205</f>
        <v>180912000</v>
      </c>
      <c r="T198" s="85"/>
      <c r="U198" s="86"/>
      <c r="V198" s="86"/>
      <c r="W198" s="341"/>
    </row>
    <row r="199" spans="2:23" ht="30" x14ac:dyDescent="0.2">
      <c r="B199" s="80" t="s">
        <v>105516</v>
      </c>
      <c r="C199" s="80" t="s">
        <v>105573</v>
      </c>
      <c r="D199" s="80" t="s">
        <v>105573</v>
      </c>
      <c r="E199" s="80" t="s">
        <v>105573</v>
      </c>
      <c r="F199" s="80" t="s">
        <v>105553</v>
      </c>
      <c r="G199" s="80" t="s">
        <v>105550</v>
      </c>
      <c r="H199" s="80" t="s">
        <v>105520</v>
      </c>
      <c r="I199" s="80" t="s">
        <v>106211</v>
      </c>
      <c r="J199" s="416"/>
      <c r="K199" s="80"/>
      <c r="L199" s="436"/>
      <c r="M199" s="304" t="s">
        <v>113230</v>
      </c>
      <c r="N199" s="83"/>
      <c r="O199" s="83"/>
      <c r="P199" s="84"/>
      <c r="Q199" s="84"/>
      <c r="R199" s="85">
        <f>+R200</f>
        <v>60000000</v>
      </c>
      <c r="S199" s="471">
        <v>40000000</v>
      </c>
      <c r="T199" s="85"/>
      <c r="U199" s="86"/>
      <c r="V199" s="86"/>
      <c r="W199" s="341"/>
    </row>
    <row r="200" spans="2:23" ht="60" x14ac:dyDescent="0.2">
      <c r="B200" s="88"/>
      <c r="C200" s="89"/>
      <c r="D200" s="89"/>
      <c r="E200" s="89"/>
      <c r="F200" s="89"/>
      <c r="G200" s="89"/>
      <c r="H200" s="89"/>
      <c r="I200" s="89"/>
      <c r="J200" s="89"/>
      <c r="K200" s="96" t="s">
        <v>107091</v>
      </c>
      <c r="L200" s="91" t="s">
        <v>113105</v>
      </c>
      <c r="M200" s="92" t="s">
        <v>113452</v>
      </c>
      <c r="N200" s="93">
        <v>45759</v>
      </c>
      <c r="O200" s="93" t="s">
        <v>113087</v>
      </c>
      <c r="P200" s="94" t="s">
        <v>113028</v>
      </c>
      <c r="Q200" s="94" t="s">
        <v>112999</v>
      </c>
      <c r="R200" s="95">
        <v>60000000</v>
      </c>
      <c r="S200" s="472"/>
      <c r="T200" s="95"/>
      <c r="U200" s="96"/>
      <c r="V200" s="97"/>
      <c r="W200" s="96" t="s">
        <v>113003</v>
      </c>
    </row>
    <row r="201" spans="2:23" ht="30" x14ac:dyDescent="0.2">
      <c r="B201" s="80" t="s">
        <v>105516</v>
      </c>
      <c r="C201" s="80" t="s">
        <v>105573</v>
      </c>
      <c r="D201" s="80" t="s">
        <v>105573</v>
      </c>
      <c r="E201" s="80" t="s">
        <v>105573</v>
      </c>
      <c r="F201" s="80" t="s">
        <v>105553</v>
      </c>
      <c r="G201" s="80" t="s">
        <v>105550</v>
      </c>
      <c r="H201" s="80" t="s">
        <v>105520</v>
      </c>
      <c r="I201" s="80" t="s">
        <v>106214</v>
      </c>
      <c r="J201" s="416"/>
      <c r="K201" s="80"/>
      <c r="L201" s="436"/>
      <c r="M201" s="304" t="s">
        <v>107102</v>
      </c>
      <c r="N201" s="83"/>
      <c r="O201" s="83"/>
      <c r="P201" s="84"/>
      <c r="Q201" s="84"/>
      <c r="R201" s="85">
        <f>SUM(R202:R204)</f>
        <v>103360000</v>
      </c>
      <c r="S201" s="471">
        <v>94000000</v>
      </c>
      <c r="T201" s="85"/>
      <c r="U201" s="86"/>
      <c r="V201" s="86"/>
      <c r="W201" s="341"/>
    </row>
    <row r="202" spans="2:23" ht="60" x14ac:dyDescent="0.2">
      <c r="B202" s="88"/>
      <c r="C202" s="89"/>
      <c r="D202" s="89"/>
      <c r="E202" s="89"/>
      <c r="F202" s="89"/>
      <c r="G202" s="89"/>
      <c r="H202" s="89"/>
      <c r="I202" s="89"/>
      <c r="J202" s="89"/>
      <c r="K202" s="96" t="s">
        <v>107091</v>
      </c>
      <c r="L202" s="91" t="s">
        <v>113133</v>
      </c>
      <c r="M202" s="92" t="s">
        <v>113524</v>
      </c>
      <c r="N202" s="93"/>
      <c r="O202" s="93"/>
      <c r="P202" s="94"/>
      <c r="Q202" s="94"/>
      <c r="R202" s="95">
        <v>23360000</v>
      </c>
      <c r="S202" s="472"/>
      <c r="T202" s="95"/>
      <c r="U202" s="96"/>
      <c r="V202" s="97"/>
      <c r="W202" s="96" t="s">
        <v>113000</v>
      </c>
    </row>
    <row r="203" spans="2:23" ht="60" x14ac:dyDescent="0.2">
      <c r="B203" s="88"/>
      <c r="C203" s="89"/>
      <c r="D203" s="89"/>
      <c r="E203" s="89"/>
      <c r="F203" s="89"/>
      <c r="G203" s="89"/>
      <c r="H203" s="89"/>
      <c r="I203" s="89"/>
      <c r="J203" s="89"/>
      <c r="K203" s="96" t="s">
        <v>107091</v>
      </c>
      <c r="L203" s="91" t="s">
        <v>113133</v>
      </c>
      <c r="M203" s="92" t="s">
        <v>113525</v>
      </c>
      <c r="N203" s="93">
        <v>45838</v>
      </c>
      <c r="O203" s="93" t="s">
        <v>112997</v>
      </c>
      <c r="P203" s="94" t="s">
        <v>113007</v>
      </c>
      <c r="Q203" s="94" t="s">
        <v>113069</v>
      </c>
      <c r="R203" s="95">
        <f>R200/8*4</f>
        <v>30000000</v>
      </c>
      <c r="S203" s="472"/>
      <c r="T203" s="95"/>
      <c r="U203" s="96" t="s">
        <v>105533</v>
      </c>
      <c r="V203" s="313">
        <f>CEILING(((R203/4*8)*1.05),10000)</f>
        <v>63000000</v>
      </c>
      <c r="W203" s="96" t="s">
        <v>113000</v>
      </c>
    </row>
    <row r="204" spans="2:23" ht="60" x14ac:dyDescent="0.2">
      <c r="B204" s="88"/>
      <c r="C204" s="89"/>
      <c r="D204" s="89"/>
      <c r="E204" s="89"/>
      <c r="F204" s="89"/>
      <c r="G204" s="89"/>
      <c r="H204" s="89"/>
      <c r="I204" s="89"/>
      <c r="J204" s="89"/>
      <c r="K204" s="96" t="s">
        <v>107091</v>
      </c>
      <c r="L204" s="91" t="s">
        <v>113275</v>
      </c>
      <c r="M204" s="92" t="s">
        <v>113109</v>
      </c>
      <c r="N204" s="93">
        <v>45679</v>
      </c>
      <c r="O204" s="93" t="s">
        <v>113037</v>
      </c>
      <c r="P204" s="94" t="s">
        <v>113011</v>
      </c>
      <c r="Q204" s="94" t="s">
        <v>113096</v>
      </c>
      <c r="R204" s="95">
        <v>50000000</v>
      </c>
      <c r="S204" s="472"/>
      <c r="T204" s="95"/>
      <c r="U204" s="96"/>
      <c r="V204" s="97"/>
      <c r="W204" s="96" t="s">
        <v>113035</v>
      </c>
    </row>
    <row r="205" spans="2:23" ht="30" x14ac:dyDescent="0.2">
      <c r="B205" s="80" t="s">
        <v>105516</v>
      </c>
      <c r="C205" s="80" t="s">
        <v>105573</v>
      </c>
      <c r="D205" s="80" t="s">
        <v>105573</v>
      </c>
      <c r="E205" s="80" t="s">
        <v>105573</v>
      </c>
      <c r="F205" s="80" t="s">
        <v>105553</v>
      </c>
      <c r="G205" s="80" t="s">
        <v>105550</v>
      </c>
      <c r="H205" s="80" t="s">
        <v>105520</v>
      </c>
      <c r="I205" s="80" t="s">
        <v>106217</v>
      </c>
      <c r="J205" s="416"/>
      <c r="K205" s="80"/>
      <c r="L205" s="436"/>
      <c r="M205" s="304" t="s">
        <v>107104</v>
      </c>
      <c r="N205" s="83"/>
      <c r="O205" s="83"/>
      <c r="P205" s="84"/>
      <c r="Q205" s="84"/>
      <c r="R205" s="85">
        <f>SUM(R206:R212)</f>
        <v>53940000</v>
      </c>
      <c r="S205" s="471">
        <v>46912000</v>
      </c>
      <c r="T205" s="85"/>
      <c r="U205" s="86"/>
      <c r="V205" s="86"/>
      <c r="W205" s="341"/>
    </row>
    <row r="206" spans="2:23" ht="90" x14ac:dyDescent="0.2">
      <c r="B206" s="88"/>
      <c r="C206" s="89"/>
      <c r="D206" s="89"/>
      <c r="E206" s="89"/>
      <c r="F206" s="89"/>
      <c r="G206" s="89"/>
      <c r="H206" s="89"/>
      <c r="I206" s="89"/>
      <c r="J206" s="89"/>
      <c r="K206" s="96" t="s">
        <v>107091</v>
      </c>
      <c r="L206" s="91">
        <v>72154100</v>
      </c>
      <c r="M206" s="92" t="s">
        <v>113526</v>
      </c>
      <c r="N206" s="93"/>
      <c r="O206" s="93"/>
      <c r="P206" s="94"/>
      <c r="Q206" s="93"/>
      <c r="R206" s="95">
        <v>15520000</v>
      </c>
      <c r="S206" s="472"/>
      <c r="T206" s="95"/>
      <c r="U206" s="96" t="s">
        <v>106081</v>
      </c>
      <c r="V206" s="97"/>
      <c r="W206" s="96" t="s">
        <v>113000</v>
      </c>
    </row>
    <row r="207" spans="2:23" ht="75" x14ac:dyDescent="0.2">
      <c r="B207" s="138"/>
      <c r="C207" s="139"/>
      <c r="D207" s="139"/>
      <c r="E207" s="139"/>
      <c r="F207" s="139"/>
      <c r="G207" s="139"/>
      <c r="H207" s="139"/>
      <c r="I207" s="139"/>
      <c r="J207" s="139"/>
      <c r="K207" s="96" t="s">
        <v>107091</v>
      </c>
      <c r="L207" s="91">
        <v>72154100</v>
      </c>
      <c r="M207" s="92" t="s">
        <v>113527</v>
      </c>
      <c r="N207" s="93">
        <v>45838</v>
      </c>
      <c r="O207" s="93" t="s">
        <v>112997</v>
      </c>
      <c r="P207" s="94" t="s">
        <v>113007</v>
      </c>
      <c r="Q207" s="94" t="s">
        <v>113069</v>
      </c>
      <c r="R207" s="95">
        <v>24000000</v>
      </c>
      <c r="S207" s="472"/>
      <c r="T207" s="95"/>
      <c r="U207" s="96" t="s">
        <v>105533</v>
      </c>
      <c r="V207" s="313">
        <f>CEILING(((R207/4*8)*1.05),10000)</f>
        <v>50400000</v>
      </c>
      <c r="W207" s="96" t="s">
        <v>113000</v>
      </c>
    </row>
    <row r="208" spans="2:23" ht="72" customHeight="1" x14ac:dyDescent="0.2">
      <c r="B208" s="138"/>
      <c r="C208" s="139"/>
      <c r="D208" s="139"/>
      <c r="E208" s="139"/>
      <c r="F208" s="139"/>
      <c r="G208" s="139"/>
      <c r="H208" s="139"/>
      <c r="I208" s="139"/>
      <c r="J208" s="139"/>
      <c r="K208" s="96" t="s">
        <v>107091</v>
      </c>
      <c r="L208" s="91" t="s">
        <v>113111</v>
      </c>
      <c r="M208" s="92" t="s">
        <v>113112</v>
      </c>
      <c r="N208" s="93">
        <v>45868</v>
      </c>
      <c r="O208" s="93" t="s">
        <v>113010</v>
      </c>
      <c r="P208" s="132" t="s">
        <v>112998</v>
      </c>
      <c r="Q208" s="93" t="s">
        <v>113052</v>
      </c>
      <c r="R208" s="118">
        <f>CEILING((7000000*1.06),10000)</f>
        <v>7420000</v>
      </c>
      <c r="S208" s="477"/>
      <c r="T208" s="118"/>
      <c r="U208" s="96" t="s">
        <v>106081</v>
      </c>
      <c r="V208" s="141"/>
      <c r="W208" s="96" t="s">
        <v>113000</v>
      </c>
    </row>
    <row r="209" spans="2:23" ht="30" x14ac:dyDescent="0.2">
      <c r="B209" s="138"/>
      <c r="C209" s="139"/>
      <c r="D209" s="139"/>
      <c r="E209" s="139"/>
      <c r="F209" s="139"/>
      <c r="G209" s="139"/>
      <c r="H209" s="139"/>
      <c r="I209" s="139"/>
      <c r="J209" s="139"/>
      <c r="K209" s="96" t="s">
        <v>107091</v>
      </c>
      <c r="L209" s="91">
        <v>76121500</v>
      </c>
      <c r="M209" s="92" t="s">
        <v>113450</v>
      </c>
      <c r="N209" s="93">
        <v>45762</v>
      </c>
      <c r="O209" s="93" t="s">
        <v>113006</v>
      </c>
      <c r="P209" s="94" t="s">
        <v>113079</v>
      </c>
      <c r="Q209" s="94" t="s">
        <v>113052</v>
      </c>
      <c r="R209" s="118">
        <v>7000000</v>
      </c>
      <c r="S209" s="474"/>
      <c r="T209" s="92"/>
      <c r="U209" s="133"/>
      <c r="V209" s="136"/>
      <c r="W209" s="96" t="s">
        <v>113054</v>
      </c>
    </row>
    <row r="210" spans="2:23" x14ac:dyDescent="0.2">
      <c r="B210" s="138"/>
      <c r="C210" s="139"/>
      <c r="D210" s="139"/>
      <c r="E210" s="139"/>
      <c r="F210" s="139"/>
      <c r="G210" s="139"/>
      <c r="H210" s="139"/>
      <c r="I210" s="139"/>
      <c r="J210" s="139"/>
      <c r="K210" s="96" t="s">
        <v>107091</v>
      </c>
      <c r="L210" s="127"/>
      <c r="M210" s="131"/>
      <c r="N210" s="121"/>
      <c r="O210" s="93"/>
      <c r="P210" s="94"/>
      <c r="Q210" s="132"/>
      <c r="R210" s="95"/>
      <c r="S210" s="472"/>
      <c r="T210" s="95"/>
      <c r="U210" s="96"/>
      <c r="V210" s="97"/>
      <c r="W210" s="96"/>
    </row>
    <row r="211" spans="2:23" x14ac:dyDescent="0.2">
      <c r="B211" s="138"/>
      <c r="C211" s="139"/>
      <c r="D211" s="139"/>
      <c r="E211" s="139"/>
      <c r="F211" s="139"/>
      <c r="G211" s="139"/>
      <c r="H211" s="139"/>
      <c r="I211" s="139"/>
      <c r="J211" s="139"/>
      <c r="K211" s="96" t="s">
        <v>107091</v>
      </c>
      <c r="L211" s="127"/>
      <c r="M211" s="120"/>
      <c r="N211" s="121"/>
      <c r="O211" s="121"/>
      <c r="P211" s="121"/>
      <c r="Q211" s="121"/>
      <c r="R211" s="95"/>
      <c r="S211" s="472"/>
      <c r="T211" s="95"/>
      <c r="U211" s="96"/>
      <c r="V211" s="97"/>
      <c r="W211" s="96"/>
    </row>
    <row r="212" spans="2:23" x14ac:dyDescent="0.2">
      <c r="B212" s="138"/>
      <c r="C212" s="139"/>
      <c r="D212" s="139"/>
      <c r="E212" s="139"/>
      <c r="F212" s="139"/>
      <c r="G212" s="139"/>
      <c r="H212" s="139"/>
      <c r="I212" s="139"/>
      <c r="J212" s="139"/>
      <c r="K212" s="96" t="s">
        <v>107091</v>
      </c>
      <c r="L212" s="55"/>
      <c r="M212" s="92"/>
      <c r="N212" s="93"/>
      <c r="O212" s="93"/>
      <c r="P212" s="94"/>
      <c r="Q212" s="94"/>
      <c r="R212" s="95"/>
      <c r="S212" s="472"/>
      <c r="T212" s="95"/>
      <c r="U212" s="96"/>
      <c r="V212" s="97"/>
      <c r="W212" s="96"/>
    </row>
    <row r="213" spans="2:23" x14ac:dyDescent="0.2">
      <c r="B213" s="63" t="s">
        <v>105516</v>
      </c>
      <c r="C213" s="63" t="s">
        <v>105573</v>
      </c>
      <c r="D213" s="63" t="s">
        <v>105573</v>
      </c>
      <c r="E213" s="63" t="s">
        <v>105573</v>
      </c>
      <c r="F213" s="63" t="s">
        <v>105556</v>
      </c>
      <c r="G213" s="63"/>
      <c r="H213" s="63"/>
      <c r="I213" s="63"/>
      <c r="J213" s="414"/>
      <c r="K213" s="254"/>
      <c r="L213" s="65"/>
      <c r="M213" s="66" t="s">
        <v>107164</v>
      </c>
      <c r="N213" s="67"/>
      <c r="O213" s="67"/>
      <c r="P213" s="68"/>
      <c r="Q213" s="68"/>
      <c r="R213" s="69">
        <f>+R214+R218+R221+R225</f>
        <v>421000000</v>
      </c>
      <c r="S213" s="469">
        <f>S214+S218+S221+S225+S228</f>
        <v>485286000</v>
      </c>
      <c r="T213" s="69"/>
      <c r="U213" s="70"/>
      <c r="V213" s="70"/>
      <c r="W213" s="254"/>
    </row>
    <row r="214" spans="2:23" x14ac:dyDescent="0.2">
      <c r="B214" s="72" t="s">
        <v>105516</v>
      </c>
      <c r="C214" s="72" t="s">
        <v>105573</v>
      </c>
      <c r="D214" s="72" t="s">
        <v>105573</v>
      </c>
      <c r="E214" s="72" t="s">
        <v>105573</v>
      </c>
      <c r="F214" s="72" t="s">
        <v>105556</v>
      </c>
      <c r="G214" s="72" t="s">
        <v>105535</v>
      </c>
      <c r="H214" s="72"/>
      <c r="I214" s="72"/>
      <c r="J214" s="415"/>
      <c r="K214" s="72"/>
      <c r="L214" s="73"/>
      <c r="M214" s="74" t="s">
        <v>107166</v>
      </c>
      <c r="N214" s="75"/>
      <c r="O214" s="75"/>
      <c r="P214" s="76"/>
      <c r="Q214" s="76"/>
      <c r="R214" s="77">
        <f>+R215</f>
        <v>90000000</v>
      </c>
      <c r="S214" s="470">
        <f>S215</f>
        <v>90000000</v>
      </c>
      <c r="T214" s="77"/>
      <c r="U214" s="78"/>
      <c r="V214" s="78"/>
      <c r="W214" s="72"/>
    </row>
    <row r="215" spans="2:23" x14ac:dyDescent="0.2">
      <c r="B215" s="80" t="s">
        <v>105516</v>
      </c>
      <c r="C215" s="80" t="s">
        <v>105573</v>
      </c>
      <c r="D215" s="80" t="s">
        <v>105573</v>
      </c>
      <c r="E215" s="80" t="s">
        <v>105573</v>
      </c>
      <c r="F215" s="80" t="s">
        <v>105556</v>
      </c>
      <c r="G215" s="80" t="s">
        <v>105535</v>
      </c>
      <c r="H215" s="80" t="s">
        <v>106109</v>
      </c>
      <c r="I215" s="80"/>
      <c r="J215" s="416"/>
      <c r="K215" s="80"/>
      <c r="L215" s="436"/>
      <c r="M215" s="82" t="s">
        <v>107178</v>
      </c>
      <c r="N215" s="83"/>
      <c r="O215" s="83"/>
      <c r="P215" s="84"/>
      <c r="Q215" s="84"/>
      <c r="R215" s="85">
        <f>SUM(R216+R217)</f>
        <v>90000000</v>
      </c>
      <c r="S215" s="471">
        <v>90000000</v>
      </c>
      <c r="T215" s="85"/>
      <c r="U215" s="86"/>
      <c r="V215" s="86"/>
      <c r="W215" s="341"/>
    </row>
    <row r="216" spans="2:23" ht="45" x14ac:dyDescent="0.2">
      <c r="B216" s="88"/>
      <c r="C216" s="89"/>
      <c r="D216" s="89"/>
      <c r="E216" s="89"/>
      <c r="F216" s="89"/>
      <c r="G216" s="89"/>
      <c r="H216" s="89"/>
      <c r="I216" s="89"/>
      <c r="J216" s="89"/>
      <c r="K216" s="96" t="s">
        <v>107165</v>
      </c>
      <c r="L216" s="91" t="s">
        <v>113115</v>
      </c>
      <c r="M216" s="92" t="s">
        <v>113417</v>
      </c>
      <c r="N216" s="93">
        <v>45713</v>
      </c>
      <c r="O216" s="93" t="s">
        <v>113001</v>
      </c>
      <c r="P216" s="94" t="s">
        <v>113004</v>
      </c>
      <c r="Q216" s="94" t="s">
        <v>113053</v>
      </c>
      <c r="R216" s="95">
        <v>50000000</v>
      </c>
      <c r="S216" s="472"/>
      <c r="T216" s="95"/>
      <c r="U216" s="96"/>
      <c r="V216" s="97"/>
      <c r="W216" s="398" t="s">
        <v>113012</v>
      </c>
    </row>
    <row r="217" spans="2:23" ht="30" x14ac:dyDescent="0.2">
      <c r="B217" s="88"/>
      <c r="C217" s="89"/>
      <c r="D217" s="89"/>
      <c r="E217" s="89"/>
      <c r="F217" s="89"/>
      <c r="G217" s="89"/>
      <c r="H217" s="89"/>
      <c r="I217" s="89"/>
      <c r="J217" s="89"/>
      <c r="K217" s="96" t="s">
        <v>107165</v>
      </c>
      <c r="L217" s="55"/>
      <c r="M217" s="92" t="s">
        <v>113117</v>
      </c>
      <c r="N217" s="93">
        <v>45708</v>
      </c>
      <c r="O217" s="94" t="s">
        <v>113031</v>
      </c>
      <c r="P217" s="94" t="s">
        <v>113031</v>
      </c>
      <c r="Q217" s="94" t="s">
        <v>113031</v>
      </c>
      <c r="R217" s="95">
        <v>40000000</v>
      </c>
      <c r="S217" s="472"/>
      <c r="T217" s="95"/>
      <c r="U217" s="96"/>
      <c r="V217" s="97"/>
      <c r="W217" s="398" t="s">
        <v>113012</v>
      </c>
    </row>
    <row r="218" spans="2:23" ht="30" x14ac:dyDescent="0.2">
      <c r="B218" s="72" t="s">
        <v>105516</v>
      </c>
      <c r="C218" s="72" t="s">
        <v>105573</v>
      </c>
      <c r="D218" s="72" t="s">
        <v>105573</v>
      </c>
      <c r="E218" s="72" t="s">
        <v>105573</v>
      </c>
      <c r="F218" s="72" t="s">
        <v>105556</v>
      </c>
      <c r="G218" s="72" t="s">
        <v>105538</v>
      </c>
      <c r="H218" s="72"/>
      <c r="I218" s="72"/>
      <c r="J218" s="415"/>
      <c r="K218" s="72"/>
      <c r="L218" s="73"/>
      <c r="M218" s="74" t="s">
        <v>107180</v>
      </c>
      <c r="N218" s="75"/>
      <c r="O218" s="75"/>
      <c r="P218" s="76"/>
      <c r="Q218" s="76"/>
      <c r="R218" s="77">
        <f>+R219</f>
        <v>35000000</v>
      </c>
      <c r="S218" s="470">
        <f>S219</f>
        <v>25286000</v>
      </c>
      <c r="T218" s="77"/>
      <c r="U218" s="78"/>
      <c r="V218" s="78"/>
      <c r="W218" s="72"/>
    </row>
    <row r="219" spans="2:23" x14ac:dyDescent="0.2">
      <c r="B219" s="80" t="s">
        <v>105516</v>
      </c>
      <c r="C219" s="80" t="s">
        <v>105573</v>
      </c>
      <c r="D219" s="80" t="s">
        <v>105573</v>
      </c>
      <c r="E219" s="80" t="s">
        <v>105573</v>
      </c>
      <c r="F219" s="80" t="s">
        <v>105556</v>
      </c>
      <c r="G219" s="80" t="s">
        <v>105538</v>
      </c>
      <c r="H219" s="80" t="s">
        <v>105520</v>
      </c>
      <c r="I219" s="80"/>
      <c r="J219" s="416"/>
      <c r="K219" s="80"/>
      <c r="L219" s="436"/>
      <c r="M219" s="82" t="s">
        <v>107182</v>
      </c>
      <c r="N219" s="83"/>
      <c r="O219" s="83"/>
      <c r="P219" s="84"/>
      <c r="Q219" s="84"/>
      <c r="R219" s="85">
        <f>+R220</f>
        <v>35000000</v>
      </c>
      <c r="S219" s="471">
        <v>25286000</v>
      </c>
      <c r="T219" s="85"/>
      <c r="U219" s="86"/>
      <c r="V219" s="86"/>
      <c r="W219" s="341"/>
    </row>
    <row r="220" spans="2:23" ht="210" x14ac:dyDescent="0.2">
      <c r="B220" s="88"/>
      <c r="C220" s="89"/>
      <c r="D220" s="89"/>
      <c r="E220" s="89"/>
      <c r="F220" s="89"/>
      <c r="G220" s="89"/>
      <c r="H220" s="89"/>
      <c r="I220" s="89"/>
      <c r="J220" s="89"/>
      <c r="K220" s="96" t="s">
        <v>107179</v>
      </c>
      <c r="L220" s="91" t="s">
        <v>113279</v>
      </c>
      <c r="M220" s="92" t="s">
        <v>113512</v>
      </c>
      <c r="N220" s="440">
        <v>45685</v>
      </c>
      <c r="O220" s="440" t="s">
        <v>113037</v>
      </c>
      <c r="P220" s="447" t="s">
        <v>113004</v>
      </c>
      <c r="Q220" s="448" t="s">
        <v>113113</v>
      </c>
      <c r="R220" s="449">
        <v>35000000</v>
      </c>
      <c r="S220" s="479"/>
      <c r="T220" s="450"/>
      <c r="U220" s="451"/>
      <c r="V220" s="97"/>
      <c r="W220" s="96" t="s">
        <v>113019</v>
      </c>
    </row>
    <row r="221" spans="2:23" ht="45" x14ac:dyDescent="0.2">
      <c r="B221" s="72" t="s">
        <v>105516</v>
      </c>
      <c r="C221" s="72" t="s">
        <v>105573</v>
      </c>
      <c r="D221" s="72" t="s">
        <v>105573</v>
      </c>
      <c r="E221" s="72" t="s">
        <v>105573</v>
      </c>
      <c r="F221" s="72" t="s">
        <v>105556</v>
      </c>
      <c r="G221" s="72" t="s">
        <v>105541</v>
      </c>
      <c r="H221" s="72"/>
      <c r="I221" s="72"/>
      <c r="J221" s="415"/>
      <c r="K221" s="72"/>
      <c r="L221" s="73"/>
      <c r="M221" s="74" t="s">
        <v>107192</v>
      </c>
      <c r="N221" s="75"/>
      <c r="O221" s="75"/>
      <c r="P221" s="76"/>
      <c r="Q221" s="76"/>
      <c r="R221" s="77">
        <f>+R222</f>
        <v>246000000</v>
      </c>
      <c r="S221" s="470">
        <f>S222</f>
        <v>251000000</v>
      </c>
      <c r="T221" s="77"/>
      <c r="U221" s="78"/>
      <c r="V221" s="78"/>
      <c r="W221" s="72"/>
    </row>
    <row r="222" spans="2:23" ht="30" x14ac:dyDescent="0.2">
      <c r="B222" s="80" t="s">
        <v>105516</v>
      </c>
      <c r="C222" s="80" t="s">
        <v>105573</v>
      </c>
      <c r="D222" s="80" t="s">
        <v>105573</v>
      </c>
      <c r="E222" s="80" t="s">
        <v>105573</v>
      </c>
      <c r="F222" s="80" t="s">
        <v>105556</v>
      </c>
      <c r="G222" s="80" t="s">
        <v>105541</v>
      </c>
      <c r="H222" s="80" t="s">
        <v>105520</v>
      </c>
      <c r="I222" s="80"/>
      <c r="J222" s="416"/>
      <c r="K222" s="80"/>
      <c r="L222" s="436"/>
      <c r="M222" s="82" t="s">
        <v>107194</v>
      </c>
      <c r="N222" s="110"/>
      <c r="O222" s="110"/>
      <c r="P222" s="84"/>
      <c r="Q222" s="84"/>
      <c r="R222" s="112">
        <f>SUM(R223+R224)</f>
        <v>246000000</v>
      </c>
      <c r="S222" s="473">
        <v>251000000</v>
      </c>
      <c r="T222" s="112"/>
      <c r="U222" s="113"/>
      <c r="V222" s="113"/>
      <c r="W222" s="341"/>
    </row>
    <row r="223" spans="2:23" x14ac:dyDescent="0.2">
      <c r="B223" s="88"/>
      <c r="C223" s="89"/>
      <c r="D223" s="89"/>
      <c r="E223" s="89"/>
      <c r="F223" s="89"/>
      <c r="G223" s="89"/>
      <c r="H223" s="89"/>
      <c r="I223" s="89"/>
      <c r="J223" s="89"/>
      <c r="K223" s="96" t="s">
        <v>107191</v>
      </c>
      <c r="L223" s="91"/>
      <c r="M223" s="102" t="s">
        <v>113121</v>
      </c>
      <c r="N223" s="93">
        <v>45659</v>
      </c>
      <c r="O223" s="93" t="s">
        <v>113060</v>
      </c>
      <c r="P223" s="94" t="s">
        <v>113068</v>
      </c>
      <c r="Q223" s="94"/>
      <c r="R223" s="95">
        <v>231000000</v>
      </c>
      <c r="S223" s="472"/>
      <c r="T223" s="95"/>
      <c r="U223" s="96"/>
      <c r="V223" s="129"/>
      <c r="W223" s="96" t="s">
        <v>113064</v>
      </c>
    </row>
    <row r="224" spans="2:23" ht="99.75" customHeight="1" x14ac:dyDescent="0.2">
      <c r="B224" s="88"/>
      <c r="C224" s="89"/>
      <c r="D224" s="89"/>
      <c r="E224" s="89"/>
      <c r="F224" s="89"/>
      <c r="G224" s="89"/>
      <c r="H224" s="89"/>
      <c r="I224" s="89"/>
      <c r="J224" s="89"/>
      <c r="K224" s="96" t="s">
        <v>107191</v>
      </c>
      <c r="L224" s="91" t="s">
        <v>113119</v>
      </c>
      <c r="M224" s="102" t="s">
        <v>113528</v>
      </c>
      <c r="N224" s="93">
        <v>45716</v>
      </c>
      <c r="O224" s="93" t="s">
        <v>113001</v>
      </c>
      <c r="P224" s="94" t="s">
        <v>113004</v>
      </c>
      <c r="Q224" s="94" t="s">
        <v>113052</v>
      </c>
      <c r="R224" s="118">
        <v>15000000</v>
      </c>
      <c r="S224" s="472"/>
      <c r="T224" s="95"/>
      <c r="U224" s="96" t="s">
        <v>106081</v>
      </c>
      <c r="V224" s="129"/>
      <c r="W224" s="96" t="s">
        <v>113000</v>
      </c>
    </row>
    <row r="225" spans="2:23" x14ac:dyDescent="0.2">
      <c r="B225" s="72" t="s">
        <v>105516</v>
      </c>
      <c r="C225" s="72" t="s">
        <v>105573</v>
      </c>
      <c r="D225" s="72" t="s">
        <v>105573</v>
      </c>
      <c r="E225" s="72" t="s">
        <v>105573</v>
      </c>
      <c r="F225" s="72" t="s">
        <v>105556</v>
      </c>
      <c r="G225" s="72" t="s">
        <v>105547</v>
      </c>
      <c r="H225" s="72"/>
      <c r="I225" s="72"/>
      <c r="J225" s="415"/>
      <c r="K225" s="72"/>
      <c r="L225" s="73"/>
      <c r="M225" s="305" t="s">
        <v>113231</v>
      </c>
      <c r="N225" s="75"/>
      <c r="O225" s="75"/>
      <c r="P225" s="76"/>
      <c r="Q225" s="76"/>
      <c r="R225" s="77">
        <f>+R226</f>
        <v>50000000</v>
      </c>
      <c r="S225" s="470">
        <f>S226</f>
        <v>50000000</v>
      </c>
      <c r="T225" s="77"/>
      <c r="U225" s="78"/>
      <c r="V225" s="78"/>
      <c r="W225" s="72"/>
    </row>
    <row r="226" spans="2:23" x14ac:dyDescent="0.2">
      <c r="B226" s="80" t="s">
        <v>105516</v>
      </c>
      <c r="C226" s="80" t="s">
        <v>105573</v>
      </c>
      <c r="D226" s="80" t="s">
        <v>105573</v>
      </c>
      <c r="E226" s="80" t="s">
        <v>105573</v>
      </c>
      <c r="F226" s="80" t="s">
        <v>105556</v>
      </c>
      <c r="G226" s="80" t="s">
        <v>105547</v>
      </c>
      <c r="H226" s="80" t="s">
        <v>106109</v>
      </c>
      <c r="I226" s="80"/>
      <c r="J226" s="416"/>
      <c r="K226" s="80"/>
      <c r="L226" s="436"/>
      <c r="M226" s="82" t="s">
        <v>107228</v>
      </c>
      <c r="N226" s="83"/>
      <c r="O226" s="83"/>
      <c r="P226" s="84"/>
      <c r="Q226" s="84"/>
      <c r="R226" s="85">
        <f>+R227</f>
        <v>50000000</v>
      </c>
      <c r="S226" s="471">
        <v>50000000</v>
      </c>
      <c r="T226" s="85"/>
      <c r="U226" s="86"/>
      <c r="V226" s="86"/>
      <c r="W226" s="341"/>
    </row>
    <row r="227" spans="2:23" ht="87" customHeight="1" x14ac:dyDescent="0.2">
      <c r="B227" s="88"/>
      <c r="C227" s="89"/>
      <c r="D227" s="89"/>
      <c r="E227" s="89"/>
      <c r="F227" s="89"/>
      <c r="G227" s="89"/>
      <c r="H227" s="89"/>
      <c r="I227" s="89"/>
      <c r="J227" s="89"/>
      <c r="K227" s="96" t="s">
        <v>107213</v>
      </c>
      <c r="L227" s="55">
        <v>93141500</v>
      </c>
      <c r="M227" s="92" t="s">
        <v>113381</v>
      </c>
      <c r="N227" s="93">
        <v>45868</v>
      </c>
      <c r="O227" s="93" t="s">
        <v>113010</v>
      </c>
      <c r="P227" s="94" t="s">
        <v>113007</v>
      </c>
      <c r="Q227" s="94" t="s">
        <v>113095</v>
      </c>
      <c r="R227" s="99">
        <v>50000000</v>
      </c>
      <c r="S227" s="472"/>
      <c r="T227" s="95"/>
      <c r="U227" s="96"/>
      <c r="V227" s="97"/>
      <c r="W227" s="398" t="s">
        <v>113012</v>
      </c>
    </row>
    <row r="228" spans="2:23" x14ac:dyDescent="0.2">
      <c r="B228" s="72" t="s">
        <v>105516</v>
      </c>
      <c r="C228" s="72" t="s">
        <v>105573</v>
      </c>
      <c r="D228" s="72" t="s">
        <v>105573</v>
      </c>
      <c r="E228" s="72" t="s">
        <v>105573</v>
      </c>
      <c r="F228" s="72" t="s">
        <v>105559</v>
      </c>
      <c r="G228" s="72"/>
      <c r="H228" s="72"/>
      <c r="I228" s="72"/>
      <c r="J228" s="415"/>
      <c r="K228" s="72"/>
      <c r="L228" s="73"/>
      <c r="M228" s="74" t="s">
        <v>105564</v>
      </c>
      <c r="N228" s="75"/>
      <c r="O228" s="75"/>
      <c r="P228" s="76"/>
      <c r="Q228" s="76"/>
      <c r="R228" s="77">
        <f>+R229</f>
        <v>80000000</v>
      </c>
      <c r="S228" s="470">
        <v>69000000</v>
      </c>
      <c r="T228" s="77"/>
      <c r="U228" s="78"/>
      <c r="V228" s="78"/>
      <c r="W228" s="72"/>
    </row>
    <row r="229" spans="2:23" ht="18.75" customHeight="1" x14ac:dyDescent="0.2">
      <c r="B229" s="88"/>
      <c r="C229" s="89"/>
      <c r="D229" s="89"/>
      <c r="E229" s="89"/>
      <c r="F229" s="89"/>
      <c r="G229" s="89"/>
      <c r="H229" s="89"/>
      <c r="I229" s="89"/>
      <c r="J229" s="89"/>
      <c r="K229" s="96" t="s">
        <v>107241</v>
      </c>
      <c r="L229" s="55"/>
      <c r="M229" s="102" t="s">
        <v>105564</v>
      </c>
      <c r="N229" s="93" t="s">
        <v>113031</v>
      </c>
      <c r="O229" s="93" t="s">
        <v>113031</v>
      </c>
      <c r="P229" s="94" t="s">
        <v>113031</v>
      </c>
      <c r="Q229" s="94" t="s">
        <v>113031</v>
      </c>
      <c r="R229" s="95">
        <v>80000000</v>
      </c>
      <c r="S229" s="472"/>
      <c r="T229" s="95"/>
      <c r="U229" s="96"/>
      <c r="V229" s="97"/>
      <c r="W229" s="398" t="s">
        <v>113012</v>
      </c>
    </row>
    <row r="230" spans="2:23" ht="15.75" x14ac:dyDescent="0.2">
      <c r="B230" s="145" t="s">
        <v>105516</v>
      </c>
      <c r="C230" s="145" t="s">
        <v>105924</v>
      </c>
      <c r="D230" s="145"/>
      <c r="E230" s="145"/>
      <c r="F230" s="145"/>
      <c r="G230" s="145"/>
      <c r="H230" s="145"/>
      <c r="I230" s="145"/>
      <c r="J230" s="419"/>
      <c r="K230" s="145"/>
      <c r="L230" s="146"/>
      <c r="M230" s="147" t="s">
        <v>112080</v>
      </c>
      <c r="N230" s="148"/>
      <c r="O230" s="148"/>
      <c r="P230" s="149"/>
      <c r="Q230" s="149"/>
      <c r="R230" s="150">
        <f>+R231</f>
        <v>17500528893</v>
      </c>
      <c r="S230" s="480">
        <f>S231</f>
        <v>13096000000</v>
      </c>
      <c r="T230" s="150">
        <v>16431000000</v>
      </c>
      <c r="U230" s="151"/>
      <c r="V230" s="151"/>
      <c r="W230" s="401"/>
    </row>
    <row r="231" spans="2:23" ht="15.75" x14ac:dyDescent="0.2">
      <c r="B231" s="153" t="s">
        <v>105516</v>
      </c>
      <c r="C231" s="153" t="s">
        <v>105924</v>
      </c>
      <c r="D231" s="153" t="s">
        <v>105520</v>
      </c>
      <c r="E231" s="153"/>
      <c r="F231" s="153"/>
      <c r="G231" s="153"/>
      <c r="H231" s="153"/>
      <c r="I231" s="153"/>
      <c r="J231" s="420"/>
      <c r="K231" s="402"/>
      <c r="L231" s="155"/>
      <c r="M231" s="156" t="s">
        <v>112080</v>
      </c>
      <c r="N231" s="157"/>
      <c r="O231" s="157"/>
      <c r="P231" s="158"/>
      <c r="Q231" s="158"/>
      <c r="R231" s="159">
        <f>+R232+R259</f>
        <v>17500528893</v>
      </c>
      <c r="S231" s="481">
        <f>S232+S259</f>
        <v>13096000000</v>
      </c>
      <c r="T231" s="159"/>
      <c r="U231" s="160"/>
      <c r="V231" s="160"/>
      <c r="W231" s="402"/>
    </row>
    <row r="232" spans="2:23" ht="15.75" x14ac:dyDescent="0.2">
      <c r="B232" s="162" t="s">
        <v>105516</v>
      </c>
      <c r="C232" s="162" t="s">
        <v>105924</v>
      </c>
      <c r="D232" s="162" t="s">
        <v>105520</v>
      </c>
      <c r="E232" s="162" t="s">
        <v>105520</v>
      </c>
      <c r="F232" s="162"/>
      <c r="G232" s="162"/>
      <c r="H232" s="162"/>
      <c r="I232" s="162"/>
      <c r="J232" s="421"/>
      <c r="K232" s="162"/>
      <c r="L232" s="163"/>
      <c r="M232" s="164" t="s">
        <v>106437</v>
      </c>
      <c r="N232" s="165"/>
      <c r="O232" s="165"/>
      <c r="P232" s="166"/>
      <c r="Q232" s="166"/>
      <c r="R232" s="167">
        <f>+R233+R253</f>
        <v>1164000000</v>
      </c>
      <c r="S232" s="482">
        <f>S233+S253</f>
        <v>992760000</v>
      </c>
      <c r="T232" s="167"/>
      <c r="U232" s="168"/>
      <c r="V232" s="168"/>
      <c r="W232" s="403"/>
    </row>
    <row r="233" spans="2:23" ht="30" x14ac:dyDescent="0.2">
      <c r="B233" s="63" t="s">
        <v>105516</v>
      </c>
      <c r="C233" s="63" t="s">
        <v>105924</v>
      </c>
      <c r="D233" s="63" t="s">
        <v>105520</v>
      </c>
      <c r="E233" s="63" t="s">
        <v>105520</v>
      </c>
      <c r="F233" s="63" t="s">
        <v>105538</v>
      </c>
      <c r="G233" s="63"/>
      <c r="H233" s="63"/>
      <c r="I233" s="63"/>
      <c r="J233" s="414"/>
      <c r="K233" s="254"/>
      <c r="L233" s="65"/>
      <c r="M233" s="66" t="s">
        <v>106589</v>
      </c>
      <c r="N233" s="67"/>
      <c r="O233" s="67"/>
      <c r="P233" s="68"/>
      <c r="Q233" s="68"/>
      <c r="R233" s="69">
        <f>+R234+R237+R240+R244+R250</f>
        <v>764000000</v>
      </c>
      <c r="S233" s="469">
        <f>S234+S237+S240+S244+S250</f>
        <v>707161340.20000005</v>
      </c>
      <c r="T233" s="69"/>
      <c r="U233" s="70"/>
      <c r="V233" s="70"/>
      <c r="W233" s="254"/>
    </row>
    <row r="234" spans="2:23" ht="30" x14ac:dyDescent="0.2">
      <c r="B234" s="170" t="s">
        <v>105516</v>
      </c>
      <c r="C234" s="170" t="s">
        <v>105924</v>
      </c>
      <c r="D234" s="170" t="s">
        <v>105520</v>
      </c>
      <c r="E234" s="170" t="s">
        <v>105520</v>
      </c>
      <c r="F234" s="170" t="s">
        <v>105538</v>
      </c>
      <c r="G234" s="170" t="s">
        <v>105535</v>
      </c>
      <c r="H234" s="170"/>
      <c r="I234" s="170"/>
      <c r="J234" s="422"/>
      <c r="K234" s="170"/>
      <c r="L234" s="171"/>
      <c r="M234" s="307" t="s">
        <v>113232</v>
      </c>
      <c r="N234" s="173"/>
      <c r="O234" s="173"/>
      <c r="P234" s="174"/>
      <c r="Q234" s="174"/>
      <c r="R234" s="175">
        <f>+R235</f>
        <v>26500000</v>
      </c>
      <c r="S234" s="483">
        <f>S235</f>
        <v>25000000</v>
      </c>
      <c r="T234" s="175"/>
      <c r="U234" s="176"/>
      <c r="V234" s="176"/>
      <c r="W234" s="170"/>
    </row>
    <row r="235" spans="2:23" x14ac:dyDescent="0.2">
      <c r="B235" s="80" t="s">
        <v>105516</v>
      </c>
      <c r="C235" s="80" t="s">
        <v>105924</v>
      </c>
      <c r="D235" s="80" t="s">
        <v>105520</v>
      </c>
      <c r="E235" s="80" t="s">
        <v>105520</v>
      </c>
      <c r="F235" s="81" t="s">
        <v>105538</v>
      </c>
      <c r="G235" s="81" t="s">
        <v>105535</v>
      </c>
      <c r="H235" s="81" t="s">
        <v>105520</v>
      </c>
      <c r="I235" s="80"/>
      <c r="J235" s="416"/>
      <c r="K235" s="80"/>
      <c r="L235" s="436"/>
      <c r="M235" s="82" t="s">
        <v>106595</v>
      </c>
      <c r="N235" s="83"/>
      <c r="O235" s="83"/>
      <c r="P235" s="84"/>
      <c r="Q235" s="84"/>
      <c r="R235" s="85">
        <f>+R236</f>
        <v>26500000</v>
      </c>
      <c r="S235" s="471">
        <v>25000000</v>
      </c>
      <c r="T235" s="85"/>
      <c r="U235" s="86"/>
      <c r="V235" s="86"/>
      <c r="W235" s="341"/>
    </row>
    <row r="236" spans="2:23" ht="180" x14ac:dyDescent="0.2">
      <c r="B236" s="88"/>
      <c r="C236" s="89"/>
      <c r="D236" s="89"/>
      <c r="E236" s="89"/>
      <c r="F236" s="89"/>
      <c r="G236" s="89"/>
      <c r="H236" s="89"/>
      <c r="I236" s="89"/>
      <c r="J236" s="89"/>
      <c r="K236" s="96" t="s">
        <v>112177</v>
      </c>
      <c r="L236" s="91" t="s">
        <v>113026</v>
      </c>
      <c r="M236" s="92" t="s">
        <v>113522</v>
      </c>
      <c r="N236" s="93">
        <v>45716</v>
      </c>
      <c r="O236" s="93" t="s">
        <v>113001</v>
      </c>
      <c r="P236" s="94" t="s">
        <v>113045</v>
      </c>
      <c r="Q236" s="94" t="s">
        <v>113008</v>
      </c>
      <c r="R236" s="118">
        <f>CEILING((25000000*1.06),10000)</f>
        <v>26500000</v>
      </c>
      <c r="S236" s="472"/>
      <c r="T236" s="95"/>
      <c r="U236" s="96" t="s">
        <v>106081</v>
      </c>
      <c r="V236" s="129"/>
      <c r="W236" s="96" t="s">
        <v>113029</v>
      </c>
    </row>
    <row r="237" spans="2:23" ht="30" x14ac:dyDescent="0.2">
      <c r="B237" s="170" t="s">
        <v>105516</v>
      </c>
      <c r="C237" s="170" t="s">
        <v>105924</v>
      </c>
      <c r="D237" s="170" t="s">
        <v>105520</v>
      </c>
      <c r="E237" s="170" t="s">
        <v>105520</v>
      </c>
      <c r="F237" s="170" t="s">
        <v>105538</v>
      </c>
      <c r="G237" s="170" t="s">
        <v>105538</v>
      </c>
      <c r="H237" s="170"/>
      <c r="I237" s="170"/>
      <c r="J237" s="422"/>
      <c r="K237" s="170"/>
      <c r="L237" s="171"/>
      <c r="M237" s="172" t="s">
        <v>106611</v>
      </c>
      <c r="N237" s="173"/>
      <c r="O237" s="173"/>
      <c r="P237" s="174"/>
      <c r="Q237" s="174"/>
      <c r="R237" s="175">
        <f>+R238</f>
        <v>159000000</v>
      </c>
      <c r="S237" s="483">
        <f>S238</f>
        <v>150000000</v>
      </c>
      <c r="T237" s="175"/>
      <c r="U237" s="176"/>
      <c r="V237" s="176"/>
      <c r="W237" s="170"/>
    </row>
    <row r="238" spans="2:23" ht="60" x14ac:dyDescent="0.2">
      <c r="B238" s="80" t="s">
        <v>105516</v>
      </c>
      <c r="C238" s="80" t="s">
        <v>105924</v>
      </c>
      <c r="D238" s="80" t="s">
        <v>105520</v>
      </c>
      <c r="E238" s="80" t="s">
        <v>105520</v>
      </c>
      <c r="F238" s="81" t="s">
        <v>105538</v>
      </c>
      <c r="G238" s="81" t="s">
        <v>105538</v>
      </c>
      <c r="H238" s="81" t="s">
        <v>105675</v>
      </c>
      <c r="I238" s="80"/>
      <c r="J238" s="416"/>
      <c r="K238" s="80"/>
      <c r="L238" s="436"/>
      <c r="M238" s="82" t="s">
        <v>106617</v>
      </c>
      <c r="N238" s="83"/>
      <c r="O238" s="83"/>
      <c r="P238" s="84"/>
      <c r="Q238" s="84"/>
      <c r="R238" s="85">
        <f>+R239</f>
        <v>159000000</v>
      </c>
      <c r="S238" s="471">
        <v>150000000</v>
      </c>
      <c r="T238" s="85"/>
      <c r="U238" s="86"/>
      <c r="V238" s="86"/>
      <c r="W238" s="341"/>
    </row>
    <row r="239" spans="2:23" ht="60" x14ac:dyDescent="0.2">
      <c r="B239" s="88"/>
      <c r="C239" s="89"/>
      <c r="D239" s="89"/>
      <c r="E239" s="89"/>
      <c r="F239" s="89"/>
      <c r="G239" s="89"/>
      <c r="H239" s="89"/>
      <c r="I239" s="89"/>
      <c r="J239" s="89"/>
      <c r="K239" s="96" t="s">
        <v>112186</v>
      </c>
      <c r="L239" s="178">
        <v>15101500</v>
      </c>
      <c r="M239" s="102" t="s">
        <v>113124</v>
      </c>
      <c r="N239" s="93">
        <v>45695</v>
      </c>
      <c r="O239" s="93" t="s">
        <v>113037</v>
      </c>
      <c r="P239" s="94" t="s">
        <v>113004</v>
      </c>
      <c r="Q239" s="94" t="s">
        <v>113038</v>
      </c>
      <c r="R239" s="118">
        <f>CEILING((150000000*1.06),10000)</f>
        <v>159000000</v>
      </c>
      <c r="S239" s="472"/>
      <c r="T239" s="95"/>
      <c r="U239" s="96" t="s">
        <v>106081</v>
      </c>
      <c r="V239" s="129"/>
      <c r="W239" s="96" t="s">
        <v>113000</v>
      </c>
    </row>
    <row r="240" spans="2:23" ht="30" x14ac:dyDescent="0.2">
      <c r="B240" s="170" t="s">
        <v>105516</v>
      </c>
      <c r="C240" s="170" t="s">
        <v>105924</v>
      </c>
      <c r="D240" s="170" t="s">
        <v>105520</v>
      </c>
      <c r="E240" s="170" t="s">
        <v>105520</v>
      </c>
      <c r="F240" s="170" t="s">
        <v>105538</v>
      </c>
      <c r="G240" s="179" t="s">
        <v>105544</v>
      </c>
      <c r="H240" s="170"/>
      <c r="I240" s="170"/>
      <c r="J240" s="422"/>
      <c r="K240" s="170"/>
      <c r="L240" s="171"/>
      <c r="M240" s="172" t="s">
        <v>106645</v>
      </c>
      <c r="N240" s="173"/>
      <c r="O240" s="173"/>
      <c r="P240" s="174"/>
      <c r="Q240" s="174"/>
      <c r="R240" s="175">
        <f>+R241</f>
        <v>86500000</v>
      </c>
      <c r="S240" s="483">
        <f>S241</f>
        <v>45000000</v>
      </c>
      <c r="T240" s="175"/>
      <c r="U240" s="176"/>
      <c r="V240" s="176"/>
      <c r="W240" s="170"/>
    </row>
    <row r="241" spans="2:23" x14ac:dyDescent="0.2">
      <c r="B241" s="80" t="s">
        <v>105516</v>
      </c>
      <c r="C241" s="80" t="s">
        <v>105924</v>
      </c>
      <c r="D241" s="80" t="s">
        <v>105520</v>
      </c>
      <c r="E241" s="80" t="s">
        <v>105520</v>
      </c>
      <c r="F241" s="80" t="s">
        <v>105538</v>
      </c>
      <c r="G241" s="80" t="s">
        <v>105544</v>
      </c>
      <c r="H241" s="180" t="s">
        <v>105573</v>
      </c>
      <c r="I241" s="80"/>
      <c r="J241" s="416"/>
      <c r="K241" s="80"/>
      <c r="L241" s="436"/>
      <c r="M241" s="109" t="s">
        <v>106649</v>
      </c>
      <c r="N241" s="83"/>
      <c r="O241" s="83"/>
      <c r="P241" s="84"/>
      <c r="Q241" s="84"/>
      <c r="R241" s="85">
        <f>SUM(R242+R243)</f>
        <v>86500000</v>
      </c>
      <c r="S241" s="471">
        <v>45000000</v>
      </c>
      <c r="T241" s="85"/>
      <c r="U241" s="86"/>
      <c r="V241" s="86"/>
      <c r="W241" s="341"/>
    </row>
    <row r="242" spans="2:23" ht="240" x14ac:dyDescent="0.2">
      <c r="B242" s="138"/>
      <c r="C242" s="139"/>
      <c r="D242" s="139"/>
      <c r="E242" s="139"/>
      <c r="F242" s="139"/>
      <c r="G242" s="139"/>
      <c r="H242" s="139"/>
      <c r="I242" s="139"/>
      <c r="J242" s="139"/>
      <c r="K242" s="96" t="s">
        <v>112204</v>
      </c>
      <c r="L242" s="178" t="s">
        <v>113280</v>
      </c>
      <c r="M242" s="452" t="s">
        <v>113125</v>
      </c>
      <c r="N242" s="453">
        <v>45762</v>
      </c>
      <c r="O242" s="441" t="s">
        <v>113087</v>
      </c>
      <c r="P242" s="441" t="s">
        <v>112998</v>
      </c>
      <c r="Q242" s="441" t="s">
        <v>113038</v>
      </c>
      <c r="R242" s="95">
        <v>60000000</v>
      </c>
      <c r="S242" s="472"/>
      <c r="T242" s="95"/>
      <c r="U242" s="96"/>
      <c r="V242" s="97"/>
      <c r="W242" s="96" t="s">
        <v>113019</v>
      </c>
    </row>
    <row r="243" spans="2:23" x14ac:dyDescent="0.2">
      <c r="B243" s="138"/>
      <c r="C243" s="139"/>
      <c r="D243" s="139"/>
      <c r="E243" s="139"/>
      <c r="F243" s="139"/>
      <c r="G243" s="139"/>
      <c r="H243" s="139"/>
      <c r="I243" s="139"/>
      <c r="J243" s="139"/>
      <c r="K243" s="96" t="s">
        <v>112204</v>
      </c>
      <c r="L243" s="91">
        <v>44103100</v>
      </c>
      <c r="M243" s="102" t="s">
        <v>113547</v>
      </c>
      <c r="N243" s="93">
        <v>45716</v>
      </c>
      <c r="O243" s="93" t="s">
        <v>113001</v>
      </c>
      <c r="P243" s="94" t="s">
        <v>113045</v>
      </c>
      <c r="Q243" s="94" t="s">
        <v>113008</v>
      </c>
      <c r="R243" s="118">
        <f>CEILING((25000000*1.06),10000)</f>
        <v>26500000</v>
      </c>
      <c r="S243" s="472"/>
      <c r="T243" s="95"/>
      <c r="U243" s="96" t="s">
        <v>106081</v>
      </c>
      <c r="V243" s="97"/>
      <c r="W243" s="96" t="s">
        <v>113029</v>
      </c>
    </row>
    <row r="244" spans="2:23" x14ac:dyDescent="0.2">
      <c r="B244" s="170" t="s">
        <v>105516</v>
      </c>
      <c r="C244" s="170" t="s">
        <v>105924</v>
      </c>
      <c r="D244" s="170" t="s">
        <v>105520</v>
      </c>
      <c r="E244" s="170" t="s">
        <v>105520</v>
      </c>
      <c r="F244" s="170" t="s">
        <v>105538</v>
      </c>
      <c r="G244" s="179" t="s">
        <v>105547</v>
      </c>
      <c r="H244" s="170"/>
      <c r="I244" s="170"/>
      <c r="J244" s="422"/>
      <c r="K244" s="170"/>
      <c r="L244" s="171"/>
      <c r="M244" s="172" t="s">
        <v>106657</v>
      </c>
      <c r="N244" s="173"/>
      <c r="O244" s="173"/>
      <c r="P244" s="174"/>
      <c r="Q244" s="174"/>
      <c r="R244" s="175">
        <f>+R245+R248</f>
        <v>280000000</v>
      </c>
      <c r="S244" s="483">
        <f>S245+S248</f>
        <v>287161340.19999999</v>
      </c>
      <c r="T244" s="175"/>
      <c r="U244" s="176"/>
      <c r="V244" s="176"/>
      <c r="W244" s="170"/>
    </row>
    <row r="245" spans="2:23" x14ac:dyDescent="0.2">
      <c r="B245" s="80" t="s">
        <v>105516</v>
      </c>
      <c r="C245" s="80" t="s">
        <v>105924</v>
      </c>
      <c r="D245" s="80" t="s">
        <v>105520</v>
      </c>
      <c r="E245" s="80" t="s">
        <v>105520</v>
      </c>
      <c r="F245" s="80" t="s">
        <v>105538</v>
      </c>
      <c r="G245" s="180" t="s">
        <v>105547</v>
      </c>
      <c r="H245" s="180" t="s">
        <v>105675</v>
      </c>
      <c r="I245" s="80"/>
      <c r="J245" s="416"/>
      <c r="K245" s="80"/>
      <c r="L245" s="436"/>
      <c r="M245" s="82" t="s">
        <v>106663</v>
      </c>
      <c r="N245" s="83"/>
      <c r="O245" s="83"/>
      <c r="P245" s="84"/>
      <c r="Q245" s="84"/>
      <c r="R245" s="85">
        <f>SUM(R246+R247)</f>
        <v>80000000</v>
      </c>
      <c r="S245" s="471">
        <v>87161340.200000003</v>
      </c>
      <c r="T245" s="85"/>
      <c r="U245" s="86"/>
      <c r="V245" s="86"/>
      <c r="W245" s="341"/>
    </row>
    <row r="246" spans="2:23" ht="135" x14ac:dyDescent="0.2">
      <c r="B246" s="88"/>
      <c r="C246" s="89"/>
      <c r="D246" s="89"/>
      <c r="E246" s="89"/>
      <c r="F246" s="89"/>
      <c r="G246" s="89"/>
      <c r="H246" s="89"/>
      <c r="I246" s="89"/>
      <c r="J246" s="89"/>
      <c r="K246" s="96" t="s">
        <v>112210</v>
      </c>
      <c r="L246" s="91" t="s">
        <v>113282</v>
      </c>
      <c r="M246" s="102" t="s">
        <v>113504</v>
      </c>
      <c r="N246" s="93">
        <v>45748</v>
      </c>
      <c r="O246" s="93" t="s">
        <v>113505</v>
      </c>
      <c r="P246" s="94" t="s">
        <v>113007</v>
      </c>
      <c r="Q246" s="94" t="s">
        <v>113008</v>
      </c>
      <c r="R246" s="95">
        <v>80000000</v>
      </c>
      <c r="S246" s="472"/>
      <c r="T246" s="95"/>
      <c r="U246" s="96"/>
      <c r="V246" s="97"/>
      <c r="W246" s="96"/>
    </row>
    <row r="247" spans="2:23" x14ac:dyDescent="0.2">
      <c r="B247" s="138"/>
      <c r="C247" s="139"/>
      <c r="D247" s="139"/>
      <c r="E247" s="139"/>
      <c r="F247" s="139"/>
      <c r="G247" s="139"/>
      <c r="H247" s="139"/>
      <c r="I247" s="139"/>
      <c r="J247" s="139"/>
      <c r="K247" s="96" t="s">
        <v>112210</v>
      </c>
      <c r="L247" s="181"/>
      <c r="M247" s="102"/>
      <c r="N247" s="93"/>
      <c r="O247" s="93"/>
      <c r="P247" s="94"/>
      <c r="Q247" s="94"/>
      <c r="R247" s="95"/>
      <c r="S247" s="472"/>
      <c r="T247" s="95"/>
      <c r="U247" s="96"/>
      <c r="V247" s="97"/>
      <c r="W247" s="96"/>
    </row>
    <row r="248" spans="2:23" x14ac:dyDescent="0.2">
      <c r="B248" s="80" t="s">
        <v>105516</v>
      </c>
      <c r="C248" s="80" t="s">
        <v>105924</v>
      </c>
      <c r="D248" s="80" t="s">
        <v>105520</v>
      </c>
      <c r="E248" s="80" t="s">
        <v>105520</v>
      </c>
      <c r="F248" s="80" t="s">
        <v>105538</v>
      </c>
      <c r="G248" s="180" t="s">
        <v>105547</v>
      </c>
      <c r="H248" s="180" t="s">
        <v>106109</v>
      </c>
      <c r="I248" s="80"/>
      <c r="J248" s="416"/>
      <c r="K248" s="80"/>
      <c r="L248" s="436"/>
      <c r="M248" s="109" t="s">
        <v>106667</v>
      </c>
      <c r="N248" s="83"/>
      <c r="O248" s="83"/>
      <c r="P248" s="84"/>
      <c r="Q248" s="84"/>
      <c r="R248" s="85">
        <f>+R249</f>
        <v>200000000</v>
      </c>
      <c r="S248" s="471">
        <v>200000000</v>
      </c>
      <c r="T248" s="85"/>
      <c r="U248" s="86"/>
      <c r="V248" s="86"/>
      <c r="W248" s="341"/>
    </row>
    <row r="249" spans="2:23" ht="90" x14ac:dyDescent="0.2">
      <c r="B249" s="138"/>
      <c r="C249" s="139"/>
      <c r="D249" s="139"/>
      <c r="E249" s="139"/>
      <c r="F249" s="139"/>
      <c r="G249" s="139"/>
      <c r="H249" s="139"/>
      <c r="I249" s="139"/>
      <c r="J249" s="139"/>
      <c r="K249" s="96" t="s">
        <v>112210</v>
      </c>
      <c r="L249" s="119" t="s">
        <v>113513</v>
      </c>
      <c r="M249" s="120" t="s">
        <v>113514</v>
      </c>
      <c r="N249" s="121">
        <v>45758</v>
      </c>
      <c r="O249" s="93" t="s">
        <v>113505</v>
      </c>
      <c r="P249" s="94" t="s">
        <v>113155</v>
      </c>
      <c r="Q249" s="132" t="s">
        <v>113096</v>
      </c>
      <c r="R249" s="95">
        <v>200000000</v>
      </c>
      <c r="S249" s="472"/>
      <c r="T249" s="95"/>
      <c r="U249" s="96"/>
      <c r="V249" s="97"/>
      <c r="W249" s="96" t="s">
        <v>113019</v>
      </c>
    </row>
    <row r="250" spans="2:23" ht="30" x14ac:dyDescent="0.2">
      <c r="B250" s="170" t="s">
        <v>105516</v>
      </c>
      <c r="C250" s="170" t="s">
        <v>105924</v>
      </c>
      <c r="D250" s="170" t="s">
        <v>105520</v>
      </c>
      <c r="E250" s="170" t="s">
        <v>105520</v>
      </c>
      <c r="F250" s="170" t="s">
        <v>105538</v>
      </c>
      <c r="G250" s="170" t="s">
        <v>105550</v>
      </c>
      <c r="H250" s="170"/>
      <c r="I250" s="170"/>
      <c r="J250" s="422"/>
      <c r="K250" s="170"/>
      <c r="L250" s="171"/>
      <c r="M250" s="172" t="s">
        <v>106669</v>
      </c>
      <c r="N250" s="173"/>
      <c r="O250" s="173"/>
      <c r="P250" s="174"/>
      <c r="Q250" s="174"/>
      <c r="R250" s="175">
        <f>+R251</f>
        <v>212000000</v>
      </c>
      <c r="S250" s="483">
        <v>200000000</v>
      </c>
      <c r="T250" s="175"/>
      <c r="U250" s="176"/>
      <c r="V250" s="176"/>
      <c r="W250" s="170"/>
    </row>
    <row r="251" spans="2:23" x14ac:dyDescent="0.2">
      <c r="B251" s="80" t="s">
        <v>105516</v>
      </c>
      <c r="C251" s="80" t="s">
        <v>105924</v>
      </c>
      <c r="D251" s="80" t="s">
        <v>105520</v>
      </c>
      <c r="E251" s="80" t="s">
        <v>105520</v>
      </c>
      <c r="F251" s="80" t="s">
        <v>105538</v>
      </c>
      <c r="G251" s="80" t="s">
        <v>105550</v>
      </c>
      <c r="H251" s="80" t="s">
        <v>105520</v>
      </c>
      <c r="I251" s="80"/>
      <c r="J251" s="416"/>
      <c r="K251" s="80"/>
      <c r="L251" s="436"/>
      <c r="M251" s="82" t="s">
        <v>106671</v>
      </c>
      <c r="N251" s="83"/>
      <c r="O251" s="83"/>
      <c r="P251" s="84"/>
      <c r="Q251" s="84"/>
      <c r="R251" s="85">
        <f>+R252</f>
        <v>212000000</v>
      </c>
      <c r="S251" s="471">
        <v>200000000</v>
      </c>
      <c r="T251" s="85"/>
      <c r="U251" s="86"/>
      <c r="V251" s="86"/>
      <c r="W251" s="341"/>
    </row>
    <row r="252" spans="2:23" ht="45" x14ac:dyDescent="0.2">
      <c r="B252" s="88"/>
      <c r="C252" s="89"/>
      <c r="D252" s="89"/>
      <c r="E252" s="89"/>
      <c r="F252" s="89"/>
      <c r="G252" s="89"/>
      <c r="H252" s="89"/>
      <c r="I252" s="89"/>
      <c r="J252" s="89"/>
      <c r="K252" s="96" t="s">
        <v>112216</v>
      </c>
      <c r="L252" s="91">
        <v>30171600</v>
      </c>
      <c r="M252" s="102" t="s">
        <v>113529</v>
      </c>
      <c r="N252" s="93"/>
      <c r="O252" s="93"/>
      <c r="P252" s="94"/>
      <c r="Q252" s="94"/>
      <c r="R252" s="118">
        <f>CEILING((200000000*1.06),10000)</f>
        <v>212000000</v>
      </c>
      <c r="S252" s="472"/>
      <c r="T252" s="95"/>
      <c r="U252" s="96" t="s">
        <v>106081</v>
      </c>
      <c r="V252" s="97"/>
      <c r="W252" s="96" t="s">
        <v>113000</v>
      </c>
    </row>
    <row r="253" spans="2:23" x14ac:dyDescent="0.2">
      <c r="B253" s="63" t="s">
        <v>105516</v>
      </c>
      <c r="C253" s="63" t="s">
        <v>105924</v>
      </c>
      <c r="D253" s="63" t="s">
        <v>105520</v>
      </c>
      <c r="E253" s="63" t="s">
        <v>105520</v>
      </c>
      <c r="F253" s="182" t="s">
        <v>105541</v>
      </c>
      <c r="G253" s="63"/>
      <c r="H253" s="63"/>
      <c r="I253" s="63"/>
      <c r="J253" s="414"/>
      <c r="K253" s="254"/>
      <c r="L253" s="65"/>
      <c r="M253" s="66" t="s">
        <v>112242</v>
      </c>
      <c r="N253" s="67"/>
      <c r="O253" s="67"/>
      <c r="P253" s="68"/>
      <c r="Q253" s="68"/>
      <c r="R253" s="69">
        <f>+R254+R257</f>
        <v>400000000</v>
      </c>
      <c r="S253" s="469">
        <f>S254+S257</f>
        <v>285598659.80000001</v>
      </c>
      <c r="T253" s="69"/>
      <c r="U253" s="70"/>
      <c r="V253" s="70"/>
      <c r="W253" s="254"/>
    </row>
    <row r="254" spans="2:23" ht="30" x14ac:dyDescent="0.2">
      <c r="B254" s="170" t="s">
        <v>105516</v>
      </c>
      <c r="C254" s="170" t="s">
        <v>105924</v>
      </c>
      <c r="D254" s="170" t="s">
        <v>105520</v>
      </c>
      <c r="E254" s="170" t="s">
        <v>105520</v>
      </c>
      <c r="F254" s="170" t="s">
        <v>105541</v>
      </c>
      <c r="G254" s="170" t="s">
        <v>105535</v>
      </c>
      <c r="H254" s="170"/>
      <c r="I254" s="170"/>
      <c r="J254" s="422"/>
      <c r="K254" s="170"/>
      <c r="L254" s="171"/>
      <c r="M254" s="172" t="s">
        <v>106709</v>
      </c>
      <c r="N254" s="173"/>
      <c r="O254" s="173"/>
      <c r="P254" s="174"/>
      <c r="Q254" s="174"/>
      <c r="R254" s="175">
        <f>SUM(R255:R256)</f>
        <v>330000000</v>
      </c>
      <c r="S254" s="483">
        <v>252838659.80000001</v>
      </c>
      <c r="T254" s="175"/>
      <c r="U254" s="176"/>
      <c r="V254" s="176"/>
      <c r="W254" s="170"/>
    </row>
    <row r="255" spans="2:23" ht="45" x14ac:dyDescent="0.2">
      <c r="B255" s="88"/>
      <c r="C255" s="89"/>
      <c r="D255" s="89"/>
      <c r="E255" s="89"/>
      <c r="F255" s="89"/>
      <c r="G255" s="89"/>
      <c r="H255" s="89"/>
      <c r="I255" s="89"/>
      <c r="J255" s="89"/>
      <c r="K255" s="96" t="s">
        <v>112244</v>
      </c>
      <c r="L255" s="181" t="s">
        <v>113383</v>
      </c>
      <c r="M255" s="102" t="s">
        <v>113384</v>
      </c>
      <c r="N255" s="93">
        <v>45689</v>
      </c>
      <c r="O255" s="93" t="s">
        <v>113001</v>
      </c>
      <c r="P255" s="94" t="s">
        <v>113007</v>
      </c>
      <c r="Q255" s="94" t="s">
        <v>112999</v>
      </c>
      <c r="R255" s="95">
        <v>250000000</v>
      </c>
      <c r="S255" s="472"/>
      <c r="T255" s="95"/>
      <c r="U255" s="96"/>
      <c r="V255" s="97"/>
      <c r="W255" s="96" t="s">
        <v>113019</v>
      </c>
    </row>
    <row r="256" spans="2:23" ht="135" x14ac:dyDescent="0.2">
      <c r="B256" s="88"/>
      <c r="C256" s="89"/>
      <c r="D256" s="89"/>
      <c r="E256" s="89"/>
      <c r="F256" s="89"/>
      <c r="G256" s="89"/>
      <c r="H256" s="89"/>
      <c r="I256" s="89"/>
      <c r="J256" s="89"/>
      <c r="K256" s="96" t="s">
        <v>112244</v>
      </c>
      <c r="L256" s="91" t="s">
        <v>113282</v>
      </c>
      <c r="M256" s="102" t="s">
        <v>113504</v>
      </c>
      <c r="N256" s="93">
        <v>45748</v>
      </c>
      <c r="O256" s="93" t="s">
        <v>113505</v>
      </c>
      <c r="P256" s="94" t="s">
        <v>113007</v>
      </c>
      <c r="Q256" s="94" t="s">
        <v>113008</v>
      </c>
      <c r="R256" s="95">
        <v>80000000</v>
      </c>
      <c r="S256" s="472"/>
      <c r="T256" s="95"/>
      <c r="U256" s="96"/>
      <c r="V256" s="97"/>
      <c r="W256" s="96"/>
    </row>
    <row r="257" spans="2:23" x14ac:dyDescent="0.2">
      <c r="B257" s="170" t="s">
        <v>105516</v>
      </c>
      <c r="C257" s="170" t="s">
        <v>105924</v>
      </c>
      <c r="D257" s="170" t="s">
        <v>105520</v>
      </c>
      <c r="E257" s="170" t="s">
        <v>105520</v>
      </c>
      <c r="F257" s="170" t="s">
        <v>105541</v>
      </c>
      <c r="G257" s="179" t="s">
        <v>105547</v>
      </c>
      <c r="H257" s="170"/>
      <c r="I257" s="170"/>
      <c r="J257" s="422"/>
      <c r="K257" s="170"/>
      <c r="L257" s="171"/>
      <c r="M257" s="307" t="s">
        <v>106270</v>
      </c>
      <c r="N257" s="173"/>
      <c r="O257" s="173"/>
      <c r="P257" s="174"/>
      <c r="Q257" s="174"/>
      <c r="R257" s="175">
        <f>+R258</f>
        <v>70000000</v>
      </c>
      <c r="S257" s="483">
        <v>32760000</v>
      </c>
      <c r="T257" s="175"/>
      <c r="U257" s="176"/>
      <c r="V257" s="176"/>
      <c r="W257" s="170"/>
    </row>
    <row r="258" spans="2:23" ht="45" x14ac:dyDescent="0.2">
      <c r="B258" s="88"/>
      <c r="C258" s="89"/>
      <c r="D258" s="89"/>
      <c r="E258" s="89"/>
      <c r="F258" s="89"/>
      <c r="G258" s="89"/>
      <c r="H258" s="89"/>
      <c r="I258" s="89"/>
      <c r="J258" s="89"/>
      <c r="K258" s="96" t="s">
        <v>112266</v>
      </c>
      <c r="L258" s="181">
        <v>46171619</v>
      </c>
      <c r="M258" s="102" t="s">
        <v>113285</v>
      </c>
      <c r="N258" s="93">
        <v>45731</v>
      </c>
      <c r="O258" s="93" t="s">
        <v>113006</v>
      </c>
      <c r="P258" s="94" t="s">
        <v>112998</v>
      </c>
      <c r="Q258" s="94" t="s">
        <v>112999</v>
      </c>
      <c r="R258" s="95">
        <v>70000000</v>
      </c>
      <c r="S258" s="472"/>
      <c r="T258" s="95"/>
      <c r="U258" s="96" t="s">
        <v>106081</v>
      </c>
      <c r="V258" s="97"/>
      <c r="W258" s="96" t="s">
        <v>113000</v>
      </c>
    </row>
    <row r="259" spans="2:23" ht="15.75" x14ac:dyDescent="0.2">
      <c r="B259" s="162" t="s">
        <v>105516</v>
      </c>
      <c r="C259" s="162" t="s">
        <v>105924</v>
      </c>
      <c r="D259" s="162" t="s">
        <v>105520</v>
      </c>
      <c r="E259" s="162" t="s">
        <v>105573</v>
      </c>
      <c r="F259" s="162"/>
      <c r="G259" s="162"/>
      <c r="H259" s="162"/>
      <c r="I259" s="162"/>
      <c r="J259" s="421"/>
      <c r="K259" s="162"/>
      <c r="L259" s="163">
        <v>30171700</v>
      </c>
      <c r="M259" s="164" t="s">
        <v>106777</v>
      </c>
      <c r="N259" s="165"/>
      <c r="O259" s="165"/>
      <c r="P259" s="166"/>
      <c r="Q259" s="166"/>
      <c r="R259" s="167">
        <f>SUM(R260+R284+R288+R300)</f>
        <v>16336528893</v>
      </c>
      <c r="S259" s="482">
        <f>S260+S284+S288+S300+S330</f>
        <v>12103240000</v>
      </c>
      <c r="T259" s="167"/>
      <c r="U259" s="168"/>
      <c r="V259" s="168"/>
      <c r="W259" s="403"/>
    </row>
    <row r="260" spans="2:23" x14ac:dyDescent="0.2">
      <c r="B260" s="63" t="s">
        <v>105516</v>
      </c>
      <c r="C260" s="63" t="s">
        <v>105924</v>
      </c>
      <c r="D260" s="63" t="s">
        <v>105520</v>
      </c>
      <c r="E260" s="63" t="s">
        <v>105573</v>
      </c>
      <c r="F260" s="63" t="s">
        <v>105544</v>
      </c>
      <c r="G260" s="63"/>
      <c r="H260" s="63"/>
      <c r="I260" s="63"/>
      <c r="J260" s="414"/>
      <c r="K260" s="254"/>
      <c r="L260" s="65">
        <v>75153000</v>
      </c>
      <c r="M260" s="66" t="s">
        <v>106779</v>
      </c>
      <c r="N260" s="67"/>
      <c r="O260" s="67"/>
      <c r="P260" s="68"/>
      <c r="Q260" s="68"/>
      <c r="R260" s="69">
        <f>+R261</f>
        <v>9021170000</v>
      </c>
      <c r="S260" s="469">
        <f>S261</f>
        <v>8514310773</v>
      </c>
      <c r="T260" s="69"/>
      <c r="U260" s="70"/>
      <c r="V260" s="70"/>
      <c r="W260" s="254"/>
    </row>
    <row r="261" spans="2:23" x14ac:dyDescent="0.2">
      <c r="B261" s="170" t="s">
        <v>105516</v>
      </c>
      <c r="C261" s="170" t="s">
        <v>105924</v>
      </c>
      <c r="D261" s="170" t="s">
        <v>105520</v>
      </c>
      <c r="E261" s="170" t="s">
        <v>105573</v>
      </c>
      <c r="F261" s="170" t="s">
        <v>105544</v>
      </c>
      <c r="G261" s="170" t="s">
        <v>105541</v>
      </c>
      <c r="H261" s="170"/>
      <c r="I261" s="170"/>
      <c r="J261" s="422"/>
      <c r="K261" s="170"/>
      <c r="L261" s="171"/>
      <c r="M261" s="183" t="s">
        <v>106781</v>
      </c>
      <c r="N261" s="173"/>
      <c r="O261" s="173"/>
      <c r="P261" s="174"/>
      <c r="Q261" s="174"/>
      <c r="R261" s="175">
        <f>+R262+R274+R278</f>
        <v>9021170000</v>
      </c>
      <c r="S261" s="483">
        <f>S262+S274+S278</f>
        <v>8514310773</v>
      </c>
      <c r="T261" s="175"/>
      <c r="U261" s="176"/>
      <c r="V261" s="176"/>
      <c r="W261" s="170"/>
    </row>
    <row r="262" spans="2:23" x14ac:dyDescent="0.2">
      <c r="B262" s="80" t="s">
        <v>105516</v>
      </c>
      <c r="C262" s="80" t="s">
        <v>105924</v>
      </c>
      <c r="D262" s="80" t="s">
        <v>105520</v>
      </c>
      <c r="E262" s="80" t="s">
        <v>105573</v>
      </c>
      <c r="F262" s="80" t="s">
        <v>105544</v>
      </c>
      <c r="G262" s="80" t="s">
        <v>105541</v>
      </c>
      <c r="H262" s="80" t="s">
        <v>105924</v>
      </c>
      <c r="I262" s="80"/>
      <c r="J262" s="416"/>
      <c r="K262" s="80"/>
      <c r="L262" s="436"/>
      <c r="M262" s="82" t="s">
        <v>106811</v>
      </c>
      <c r="N262" s="83"/>
      <c r="O262" s="83"/>
      <c r="P262" s="84"/>
      <c r="Q262" s="84"/>
      <c r="R262" s="85">
        <f>SUM(R263:R273)</f>
        <v>7131050000</v>
      </c>
      <c r="S262" s="471">
        <v>6985710773</v>
      </c>
      <c r="T262" s="85"/>
      <c r="U262" s="86"/>
      <c r="V262" s="86"/>
      <c r="W262" s="341"/>
    </row>
    <row r="263" spans="2:23" ht="300" x14ac:dyDescent="0.2">
      <c r="B263" s="88"/>
      <c r="C263" s="89"/>
      <c r="D263" s="89"/>
      <c r="E263" s="89"/>
      <c r="F263" s="89"/>
      <c r="G263" s="89"/>
      <c r="H263" s="89"/>
      <c r="I263" s="89"/>
      <c r="J263" s="89"/>
      <c r="K263" s="96" t="s">
        <v>112301</v>
      </c>
      <c r="L263" s="91" t="s">
        <v>113131</v>
      </c>
      <c r="M263" s="92" t="s">
        <v>113530</v>
      </c>
      <c r="N263" s="93">
        <v>45672</v>
      </c>
      <c r="O263" s="93" t="s">
        <v>113060</v>
      </c>
      <c r="P263" s="94" t="s">
        <v>113022</v>
      </c>
      <c r="Q263" s="94" t="s">
        <v>113038</v>
      </c>
      <c r="R263" s="95">
        <v>6050000000</v>
      </c>
      <c r="S263" s="472"/>
      <c r="T263" s="95"/>
      <c r="U263" s="96" t="s">
        <v>106081</v>
      </c>
      <c r="V263" s="129"/>
      <c r="W263" s="96" t="s">
        <v>113000</v>
      </c>
    </row>
    <row r="264" spans="2:23" ht="60" x14ac:dyDescent="0.2">
      <c r="B264" s="88"/>
      <c r="C264" s="89"/>
      <c r="D264" s="89"/>
      <c r="E264" s="89"/>
      <c r="F264" s="89"/>
      <c r="G264" s="89"/>
      <c r="H264" s="89"/>
      <c r="I264" s="89"/>
      <c r="J264" s="89"/>
      <c r="K264" s="96" t="s">
        <v>112301</v>
      </c>
      <c r="L264" s="91" t="s">
        <v>113133</v>
      </c>
      <c r="M264" s="92" t="s">
        <v>113524</v>
      </c>
      <c r="N264" s="93"/>
      <c r="O264" s="93"/>
      <c r="P264" s="94"/>
      <c r="Q264" s="94"/>
      <c r="R264" s="95">
        <v>318240000</v>
      </c>
      <c r="S264" s="472"/>
      <c r="T264" s="95"/>
      <c r="U264" s="96" t="s">
        <v>106081</v>
      </c>
      <c r="V264" s="129"/>
      <c r="W264" s="96" t="s">
        <v>113000</v>
      </c>
    </row>
    <row r="265" spans="2:23" ht="60" x14ac:dyDescent="0.2">
      <c r="B265" s="88"/>
      <c r="C265" s="89"/>
      <c r="D265" s="89"/>
      <c r="E265" s="89"/>
      <c r="F265" s="89"/>
      <c r="G265" s="89"/>
      <c r="H265" s="89"/>
      <c r="I265" s="89"/>
      <c r="J265" s="89"/>
      <c r="K265" s="96" t="s">
        <v>112301</v>
      </c>
      <c r="L265" s="91" t="s">
        <v>113133</v>
      </c>
      <c r="M265" s="92" t="s">
        <v>113525</v>
      </c>
      <c r="N265" s="93">
        <v>45838</v>
      </c>
      <c r="O265" s="93" t="s">
        <v>112997</v>
      </c>
      <c r="P265" s="94" t="s">
        <v>113007</v>
      </c>
      <c r="Q265" s="94" t="s">
        <v>113069</v>
      </c>
      <c r="R265" s="95">
        <f>R264/8*4</f>
        <v>159120000</v>
      </c>
      <c r="S265" s="472"/>
      <c r="T265" s="95"/>
      <c r="U265" s="96" t="s">
        <v>105533</v>
      </c>
      <c r="V265" s="313">
        <f>CEILING(((R265/4*8)*1.05),10000)</f>
        <v>334160000</v>
      </c>
      <c r="W265" s="96" t="s">
        <v>113000</v>
      </c>
    </row>
    <row r="266" spans="2:23" ht="90" x14ac:dyDescent="0.2">
      <c r="B266" s="88"/>
      <c r="C266" s="89"/>
      <c r="D266" s="89"/>
      <c r="E266" s="89"/>
      <c r="F266" s="89"/>
      <c r="G266" s="89"/>
      <c r="H266" s="89"/>
      <c r="I266" s="89"/>
      <c r="J266" s="89"/>
      <c r="K266" s="96" t="s">
        <v>112301</v>
      </c>
      <c r="L266" s="91">
        <v>72154100</v>
      </c>
      <c r="M266" s="92" t="s">
        <v>113526</v>
      </c>
      <c r="N266" s="93"/>
      <c r="O266" s="93"/>
      <c r="P266" s="94"/>
      <c r="Q266" s="93"/>
      <c r="R266" s="95">
        <v>363200000</v>
      </c>
      <c r="S266" s="472"/>
      <c r="T266" s="95"/>
      <c r="U266" s="96" t="s">
        <v>106081</v>
      </c>
      <c r="V266" s="97"/>
      <c r="W266" s="96" t="s">
        <v>113000</v>
      </c>
    </row>
    <row r="267" spans="2:23" ht="75" x14ac:dyDescent="0.2">
      <c r="B267" s="88"/>
      <c r="C267" s="89"/>
      <c r="D267" s="89"/>
      <c r="E267" s="89"/>
      <c r="F267" s="89"/>
      <c r="G267" s="89"/>
      <c r="H267" s="89"/>
      <c r="I267" s="89"/>
      <c r="J267" s="89"/>
      <c r="K267" s="96" t="s">
        <v>112301</v>
      </c>
      <c r="L267" s="91">
        <v>72154100</v>
      </c>
      <c r="M267" s="92" t="s">
        <v>113527</v>
      </c>
      <c r="N267" s="93">
        <v>45838</v>
      </c>
      <c r="O267" s="93" t="s">
        <v>112997</v>
      </c>
      <c r="P267" s="94" t="s">
        <v>113007</v>
      </c>
      <c r="Q267" s="94" t="s">
        <v>113069</v>
      </c>
      <c r="R267" s="95">
        <f>R266/8*4</f>
        <v>181600000</v>
      </c>
      <c r="S267" s="472"/>
      <c r="T267" s="95"/>
      <c r="U267" s="96" t="s">
        <v>105533</v>
      </c>
      <c r="V267" s="313">
        <f>CEILING(((R267/4*8)*1.05),10000)</f>
        <v>381360000</v>
      </c>
      <c r="W267" s="96" t="s">
        <v>113000</v>
      </c>
    </row>
    <row r="268" spans="2:23" ht="45" x14ac:dyDescent="0.2">
      <c r="B268" s="88"/>
      <c r="C268" s="89"/>
      <c r="D268" s="89"/>
      <c r="E268" s="89"/>
      <c r="F268" s="89"/>
      <c r="G268" s="89"/>
      <c r="H268" s="89"/>
      <c r="I268" s="89"/>
      <c r="J268" s="89"/>
      <c r="K268" s="96" t="s">
        <v>112301</v>
      </c>
      <c r="L268" s="91" t="s">
        <v>113111</v>
      </c>
      <c r="M268" s="92" t="s">
        <v>113112</v>
      </c>
      <c r="N268" s="93">
        <v>45868</v>
      </c>
      <c r="O268" s="93" t="s">
        <v>113010</v>
      </c>
      <c r="P268" s="132" t="s">
        <v>112998</v>
      </c>
      <c r="Q268" s="93" t="s">
        <v>113052</v>
      </c>
      <c r="R268" s="118">
        <f>CEILING((25550000*1.06),10000)</f>
        <v>27090000</v>
      </c>
      <c r="S268" s="477"/>
      <c r="T268" s="118"/>
      <c r="U268" s="96" t="s">
        <v>106081</v>
      </c>
      <c r="V268" s="141"/>
      <c r="W268" s="96" t="s">
        <v>113000</v>
      </c>
    </row>
    <row r="269" spans="2:23" ht="45" x14ac:dyDescent="0.2">
      <c r="B269" s="88"/>
      <c r="C269" s="89"/>
      <c r="D269" s="89"/>
      <c r="E269" s="89"/>
      <c r="F269" s="89"/>
      <c r="G269" s="89"/>
      <c r="H269" s="89"/>
      <c r="I269" s="89"/>
      <c r="J269" s="89"/>
      <c r="K269" s="96" t="s">
        <v>112301</v>
      </c>
      <c r="L269" s="91">
        <v>72154100</v>
      </c>
      <c r="M269" s="92" t="s">
        <v>113209</v>
      </c>
      <c r="N269" s="93">
        <v>45868</v>
      </c>
      <c r="O269" s="93" t="s">
        <v>113010</v>
      </c>
      <c r="P269" s="132" t="s">
        <v>112998</v>
      </c>
      <c r="Q269" s="93" t="s">
        <v>113052</v>
      </c>
      <c r="R269" s="118">
        <f>CEILING((30000000*1.06),10000)</f>
        <v>31800000</v>
      </c>
      <c r="S269" s="472"/>
      <c r="T269" s="95"/>
      <c r="U269" s="186" t="s">
        <v>106081</v>
      </c>
      <c r="V269" s="184"/>
      <c r="W269" s="96" t="s">
        <v>113000</v>
      </c>
    </row>
    <row r="270" spans="2:23" x14ac:dyDescent="0.2">
      <c r="B270" s="88"/>
      <c r="C270" s="89"/>
      <c r="D270" s="89"/>
      <c r="E270" s="89"/>
      <c r="F270" s="89"/>
      <c r="G270" s="89"/>
      <c r="H270" s="89"/>
      <c r="I270" s="89"/>
      <c r="J270" s="89"/>
      <c r="K270" s="96" t="s">
        <v>112301</v>
      </c>
      <c r="L270" s="91"/>
      <c r="M270" s="92"/>
      <c r="N270" s="93"/>
      <c r="O270" s="93"/>
      <c r="P270" s="132"/>
      <c r="Q270" s="94"/>
      <c r="R270" s="118"/>
      <c r="S270" s="477"/>
      <c r="T270" s="118"/>
      <c r="U270" s="96"/>
      <c r="V270" s="144"/>
      <c r="W270" s="96"/>
    </row>
    <row r="271" spans="2:23" x14ac:dyDescent="0.2">
      <c r="B271" s="88"/>
      <c r="C271" s="89"/>
      <c r="D271" s="89"/>
      <c r="E271" s="89"/>
      <c r="F271" s="89"/>
      <c r="G271" s="89"/>
      <c r="H271" s="89"/>
      <c r="I271" s="89"/>
      <c r="J271" s="89"/>
      <c r="K271" s="96" t="s">
        <v>112301</v>
      </c>
      <c r="L271" s="91"/>
      <c r="M271" s="92"/>
      <c r="N271" s="93"/>
      <c r="O271" s="93"/>
      <c r="P271" s="94"/>
      <c r="Q271" s="93"/>
      <c r="R271" s="95"/>
      <c r="S271" s="472"/>
      <c r="T271" s="95"/>
      <c r="U271" s="96"/>
      <c r="V271" s="187"/>
      <c r="W271" s="96"/>
    </row>
    <row r="272" spans="2:23" x14ac:dyDescent="0.2">
      <c r="B272" s="88"/>
      <c r="C272" s="89"/>
      <c r="D272" s="89"/>
      <c r="E272" s="89"/>
      <c r="F272" s="89"/>
      <c r="G272" s="89"/>
      <c r="H272" s="89"/>
      <c r="I272" s="89"/>
      <c r="J272" s="89"/>
      <c r="K272" s="96" t="s">
        <v>112301</v>
      </c>
      <c r="L272" s="91"/>
      <c r="M272" s="92"/>
      <c r="N272" s="93"/>
      <c r="O272" s="93"/>
      <c r="P272" s="94"/>
      <c r="Q272" s="93"/>
      <c r="R272" s="95"/>
      <c r="S272" s="472"/>
      <c r="T272" s="95"/>
      <c r="U272" s="96"/>
      <c r="V272" s="187"/>
      <c r="W272" s="96"/>
    </row>
    <row r="273" spans="2:23" x14ac:dyDescent="0.2">
      <c r="B273" s="88"/>
      <c r="C273" s="89"/>
      <c r="D273" s="89"/>
      <c r="E273" s="89"/>
      <c r="F273" s="89"/>
      <c r="G273" s="89"/>
      <c r="H273" s="89"/>
      <c r="I273" s="89"/>
      <c r="J273" s="89"/>
      <c r="K273" s="96" t="s">
        <v>112301</v>
      </c>
      <c r="L273" s="91"/>
      <c r="M273" s="92"/>
      <c r="N273" s="93"/>
      <c r="O273" s="93"/>
      <c r="P273" s="94"/>
      <c r="Q273" s="93"/>
      <c r="R273" s="95"/>
      <c r="S273" s="472"/>
      <c r="T273" s="95"/>
      <c r="U273" s="96"/>
      <c r="V273" s="97"/>
      <c r="W273" s="96"/>
    </row>
    <row r="274" spans="2:23" x14ac:dyDescent="0.2">
      <c r="B274" s="80" t="s">
        <v>105516</v>
      </c>
      <c r="C274" s="80" t="s">
        <v>105924</v>
      </c>
      <c r="D274" s="80" t="s">
        <v>105520</v>
      </c>
      <c r="E274" s="80" t="s">
        <v>105573</v>
      </c>
      <c r="F274" s="80" t="s">
        <v>105544</v>
      </c>
      <c r="G274" s="80" t="s">
        <v>105541</v>
      </c>
      <c r="H274" s="80" t="s">
        <v>106100</v>
      </c>
      <c r="I274" s="80"/>
      <c r="J274" s="416"/>
      <c r="K274" s="80"/>
      <c r="L274" s="436"/>
      <c r="M274" s="82" t="s">
        <v>106813</v>
      </c>
      <c r="N274" s="83"/>
      <c r="O274" s="83"/>
      <c r="P274" s="84"/>
      <c r="Q274" s="84"/>
      <c r="R274" s="85">
        <f>SUM(R275:R277)</f>
        <v>183140000</v>
      </c>
      <c r="S274" s="471">
        <v>156700000</v>
      </c>
      <c r="T274" s="85"/>
      <c r="U274" s="86"/>
      <c r="V274" s="86"/>
      <c r="W274" s="341"/>
    </row>
    <row r="275" spans="2:23" ht="30" x14ac:dyDescent="0.2">
      <c r="B275" s="88"/>
      <c r="C275" s="89"/>
      <c r="D275" s="89"/>
      <c r="E275" s="89"/>
      <c r="F275" s="89"/>
      <c r="G275" s="89"/>
      <c r="H275" s="89"/>
      <c r="I275" s="89"/>
      <c r="J275" s="89"/>
      <c r="K275" s="96" t="s">
        <v>112301</v>
      </c>
      <c r="L275" s="55">
        <v>72101500</v>
      </c>
      <c r="M275" s="102" t="s">
        <v>113136</v>
      </c>
      <c r="N275" s="93">
        <v>45667</v>
      </c>
      <c r="O275" s="93" t="s">
        <v>113060</v>
      </c>
      <c r="P275" s="94" t="s">
        <v>113011</v>
      </c>
      <c r="Q275" s="94" t="s">
        <v>113053</v>
      </c>
      <c r="R275" s="95">
        <v>31570000</v>
      </c>
      <c r="S275" s="472"/>
      <c r="T275" s="95"/>
      <c r="U275" s="96" t="s">
        <v>106081</v>
      </c>
      <c r="V275" s="187"/>
      <c r="W275" s="96" t="s">
        <v>113000</v>
      </c>
    </row>
    <row r="276" spans="2:23" ht="59.25" customHeight="1" x14ac:dyDescent="0.2">
      <c r="B276" s="88"/>
      <c r="C276" s="89"/>
      <c r="D276" s="89"/>
      <c r="E276" s="89"/>
      <c r="F276" s="89"/>
      <c r="G276" s="89"/>
      <c r="H276" s="89"/>
      <c r="I276" s="89"/>
      <c r="J276" s="89"/>
      <c r="K276" s="96" t="s">
        <v>112301</v>
      </c>
      <c r="L276" s="91">
        <v>72151500</v>
      </c>
      <c r="M276" s="92" t="s">
        <v>113294</v>
      </c>
      <c r="N276" s="93">
        <v>45667</v>
      </c>
      <c r="O276" s="93" t="s">
        <v>113060</v>
      </c>
      <c r="P276" s="94" t="s">
        <v>113011</v>
      </c>
      <c r="Q276" s="94" t="s">
        <v>113053</v>
      </c>
      <c r="R276" s="95">
        <v>31570000</v>
      </c>
      <c r="S276" s="472"/>
      <c r="T276" s="95"/>
      <c r="U276" s="96" t="s">
        <v>106081</v>
      </c>
      <c r="V276" s="187"/>
      <c r="W276" s="96" t="s">
        <v>113000</v>
      </c>
    </row>
    <row r="277" spans="2:23" ht="60" x14ac:dyDescent="0.2">
      <c r="B277" s="88"/>
      <c r="C277" s="89"/>
      <c r="D277" s="89"/>
      <c r="E277" s="89"/>
      <c r="F277" s="89"/>
      <c r="G277" s="89"/>
      <c r="H277" s="89"/>
      <c r="I277" s="89"/>
      <c r="J277" s="89"/>
      <c r="K277" s="96"/>
      <c r="L277" s="91" t="s">
        <v>113137</v>
      </c>
      <c r="M277" s="102" t="s">
        <v>113453</v>
      </c>
      <c r="N277" s="93">
        <v>45705</v>
      </c>
      <c r="O277" s="93" t="s">
        <v>113001</v>
      </c>
      <c r="P277" s="94" t="s">
        <v>113022</v>
      </c>
      <c r="Q277" s="94" t="s">
        <v>113096</v>
      </c>
      <c r="R277" s="95">
        <v>120000000</v>
      </c>
      <c r="S277" s="472"/>
      <c r="T277" s="95"/>
      <c r="U277" s="96"/>
      <c r="V277" s="187"/>
      <c r="W277" s="96"/>
    </row>
    <row r="278" spans="2:23" x14ac:dyDescent="0.2">
      <c r="B278" s="80" t="s">
        <v>105516</v>
      </c>
      <c r="C278" s="80" t="s">
        <v>105924</v>
      </c>
      <c r="D278" s="80" t="s">
        <v>105520</v>
      </c>
      <c r="E278" s="80" t="s">
        <v>105573</v>
      </c>
      <c r="F278" s="80" t="s">
        <v>105544</v>
      </c>
      <c r="G278" s="80" t="s">
        <v>105541</v>
      </c>
      <c r="H278" s="80" t="s">
        <v>106103</v>
      </c>
      <c r="I278" s="80"/>
      <c r="J278" s="416"/>
      <c r="K278" s="80"/>
      <c r="L278" s="436"/>
      <c r="M278" s="82" t="s">
        <v>106815</v>
      </c>
      <c r="N278" s="83"/>
      <c r="O278" s="83"/>
      <c r="P278" s="84"/>
      <c r="Q278" s="84"/>
      <c r="R278" s="85">
        <f>SUM(R279:R283)</f>
        <v>1706980000</v>
      </c>
      <c r="S278" s="471">
        <v>1371900000</v>
      </c>
      <c r="T278" s="85"/>
      <c r="U278" s="86"/>
      <c r="V278" s="86"/>
      <c r="W278" s="341"/>
    </row>
    <row r="279" spans="2:23" ht="45" x14ac:dyDescent="0.2">
      <c r="B279" s="88"/>
      <c r="C279" s="89"/>
      <c r="D279" s="89"/>
      <c r="E279" s="89"/>
      <c r="F279" s="89"/>
      <c r="G279" s="89"/>
      <c r="H279" s="89"/>
      <c r="I279" s="89"/>
      <c r="J279" s="89"/>
      <c r="K279" s="96" t="s">
        <v>112301</v>
      </c>
      <c r="L279" s="55">
        <v>72101500</v>
      </c>
      <c r="M279" s="102" t="s">
        <v>113531</v>
      </c>
      <c r="N279" s="93">
        <v>45667</v>
      </c>
      <c r="O279" s="93" t="s">
        <v>113060</v>
      </c>
      <c r="P279" s="94" t="s">
        <v>113011</v>
      </c>
      <c r="Q279" s="94" t="s">
        <v>113053</v>
      </c>
      <c r="R279" s="95">
        <v>291500000</v>
      </c>
      <c r="S279" s="472"/>
      <c r="T279" s="95"/>
      <c r="U279" s="96" t="s">
        <v>106081</v>
      </c>
      <c r="V279" s="187"/>
      <c r="W279" s="96" t="s">
        <v>113000</v>
      </c>
    </row>
    <row r="280" spans="2:23" ht="45" x14ac:dyDescent="0.2">
      <c r="B280" s="88"/>
      <c r="C280" s="89"/>
      <c r="D280" s="89"/>
      <c r="E280" s="89"/>
      <c r="F280" s="89"/>
      <c r="G280" s="89"/>
      <c r="H280" s="89"/>
      <c r="I280" s="89"/>
      <c r="J280" s="89"/>
      <c r="K280" s="96" t="s">
        <v>112301</v>
      </c>
      <c r="L280" s="55">
        <v>72101500</v>
      </c>
      <c r="M280" s="102" t="s">
        <v>113532</v>
      </c>
      <c r="N280" s="93">
        <v>45667</v>
      </c>
      <c r="O280" s="93" t="s">
        <v>113060</v>
      </c>
      <c r="P280" s="94" t="s">
        <v>113011</v>
      </c>
      <c r="Q280" s="94" t="s">
        <v>113053</v>
      </c>
      <c r="R280" s="95">
        <v>91080000</v>
      </c>
      <c r="S280" s="472"/>
      <c r="T280" s="95"/>
      <c r="U280" s="96" t="s">
        <v>106081</v>
      </c>
      <c r="V280" s="187"/>
      <c r="W280" s="96" t="s">
        <v>113000</v>
      </c>
    </row>
    <row r="281" spans="2:23" ht="45" x14ac:dyDescent="0.2">
      <c r="B281" s="88"/>
      <c r="C281" s="89"/>
      <c r="D281" s="89"/>
      <c r="E281" s="89"/>
      <c r="F281" s="89"/>
      <c r="G281" s="89"/>
      <c r="H281" s="89"/>
      <c r="I281" s="89"/>
      <c r="J281" s="89"/>
      <c r="K281" s="96" t="s">
        <v>112301</v>
      </c>
      <c r="L281" s="91">
        <v>72101500</v>
      </c>
      <c r="M281" s="102" t="s">
        <v>113533</v>
      </c>
      <c r="N281" s="93">
        <v>45667</v>
      </c>
      <c r="O281" s="93" t="s">
        <v>113060</v>
      </c>
      <c r="P281" s="94" t="s">
        <v>113011</v>
      </c>
      <c r="Q281" s="94" t="s">
        <v>113053</v>
      </c>
      <c r="R281" s="95">
        <v>1245500000</v>
      </c>
      <c r="S281" s="472"/>
      <c r="T281" s="95"/>
      <c r="U281" s="96" t="s">
        <v>106081</v>
      </c>
      <c r="V281" s="187"/>
      <c r="W281" s="96" t="s">
        <v>113000</v>
      </c>
    </row>
    <row r="282" spans="2:23" ht="45" x14ac:dyDescent="0.2">
      <c r="B282" s="88"/>
      <c r="C282" s="89"/>
      <c r="D282" s="89"/>
      <c r="E282" s="89"/>
      <c r="F282" s="89"/>
      <c r="G282" s="89"/>
      <c r="H282" s="89"/>
      <c r="I282" s="89"/>
      <c r="J282" s="89"/>
      <c r="K282" s="96" t="s">
        <v>112301</v>
      </c>
      <c r="L282" s="91">
        <v>72101500</v>
      </c>
      <c r="M282" s="102" t="s">
        <v>113534</v>
      </c>
      <c r="N282" s="93">
        <v>45703</v>
      </c>
      <c r="O282" s="93" t="s">
        <v>113037</v>
      </c>
      <c r="P282" s="94" t="s">
        <v>113002</v>
      </c>
      <c r="Q282" s="94" t="s">
        <v>113053</v>
      </c>
      <c r="R282" s="95">
        <v>22500000</v>
      </c>
      <c r="S282" s="472"/>
      <c r="T282" s="95"/>
      <c r="U282" s="96" t="s">
        <v>106081</v>
      </c>
      <c r="V282" s="187"/>
      <c r="W282" s="96" t="s">
        <v>113000</v>
      </c>
    </row>
    <row r="283" spans="2:23" ht="45" x14ac:dyDescent="0.2">
      <c r="B283" s="88"/>
      <c r="C283" s="89"/>
      <c r="D283" s="89"/>
      <c r="E283" s="89"/>
      <c r="F283" s="89"/>
      <c r="G283" s="89"/>
      <c r="H283" s="89"/>
      <c r="I283" s="89"/>
      <c r="J283" s="89"/>
      <c r="K283" s="96" t="s">
        <v>112301</v>
      </c>
      <c r="L283" s="91">
        <v>72101500</v>
      </c>
      <c r="M283" s="92" t="s">
        <v>113535</v>
      </c>
      <c r="N283" s="93">
        <v>45703</v>
      </c>
      <c r="O283" s="93" t="s">
        <v>113037</v>
      </c>
      <c r="P283" s="94" t="s">
        <v>113002</v>
      </c>
      <c r="Q283" s="94" t="s">
        <v>113053</v>
      </c>
      <c r="R283" s="95">
        <v>56400000</v>
      </c>
      <c r="S283" s="472"/>
      <c r="T283" s="95"/>
      <c r="U283" s="96" t="s">
        <v>106081</v>
      </c>
      <c r="V283" s="187"/>
      <c r="W283" s="96" t="s">
        <v>113000</v>
      </c>
    </row>
    <row r="284" spans="2:23" ht="45" x14ac:dyDescent="0.2">
      <c r="B284" s="188" t="s">
        <v>105516</v>
      </c>
      <c r="C284" s="188" t="s">
        <v>105924</v>
      </c>
      <c r="D284" s="188" t="s">
        <v>105520</v>
      </c>
      <c r="E284" s="188" t="s">
        <v>105573</v>
      </c>
      <c r="F284" s="188" t="s">
        <v>105547</v>
      </c>
      <c r="G284" s="188"/>
      <c r="H284" s="188"/>
      <c r="I284" s="188"/>
      <c r="J284" s="423"/>
      <c r="K284" s="308"/>
      <c r="L284" s="65"/>
      <c r="M284" s="306" t="s">
        <v>113221</v>
      </c>
      <c r="N284" s="67"/>
      <c r="O284" s="190"/>
      <c r="P284" s="68"/>
      <c r="Q284" s="68"/>
      <c r="R284" s="69">
        <f>+R285</f>
        <v>23320000</v>
      </c>
      <c r="S284" s="469">
        <f>S285</f>
        <v>3400000</v>
      </c>
      <c r="T284" s="69"/>
      <c r="U284" s="70"/>
      <c r="V284" s="70"/>
      <c r="W284" s="254"/>
    </row>
    <row r="285" spans="2:23" x14ac:dyDescent="0.2">
      <c r="B285" s="191" t="s">
        <v>105516</v>
      </c>
      <c r="C285" s="191" t="s">
        <v>105924</v>
      </c>
      <c r="D285" s="191" t="s">
        <v>105520</v>
      </c>
      <c r="E285" s="191" t="s">
        <v>105573</v>
      </c>
      <c r="F285" s="191" t="s">
        <v>105547</v>
      </c>
      <c r="G285" s="191" t="s">
        <v>105550</v>
      </c>
      <c r="H285" s="191"/>
      <c r="I285" s="191"/>
      <c r="J285" s="424"/>
      <c r="K285" s="191"/>
      <c r="L285" s="171"/>
      <c r="M285" s="172" t="s">
        <v>106841</v>
      </c>
      <c r="N285" s="173"/>
      <c r="O285" s="173"/>
      <c r="P285" s="174"/>
      <c r="Q285" s="174"/>
      <c r="R285" s="175">
        <f>+R286</f>
        <v>23320000</v>
      </c>
      <c r="S285" s="483">
        <f>S286</f>
        <v>3400000</v>
      </c>
      <c r="T285" s="175"/>
      <c r="U285" s="176"/>
      <c r="V285" s="176"/>
      <c r="W285" s="170"/>
    </row>
    <row r="286" spans="2:23" x14ac:dyDescent="0.2">
      <c r="B286" s="81" t="s">
        <v>105516</v>
      </c>
      <c r="C286" s="81" t="s">
        <v>105924</v>
      </c>
      <c r="D286" s="81" t="s">
        <v>105520</v>
      </c>
      <c r="E286" s="81" t="s">
        <v>105573</v>
      </c>
      <c r="F286" s="81" t="s">
        <v>105547</v>
      </c>
      <c r="G286" s="81" t="s">
        <v>105550</v>
      </c>
      <c r="H286" s="81" t="s">
        <v>105520</v>
      </c>
      <c r="I286" s="81"/>
      <c r="J286" s="425"/>
      <c r="K286" s="81"/>
      <c r="L286" s="436"/>
      <c r="M286" s="82" t="s">
        <v>106843</v>
      </c>
      <c r="N286" s="83"/>
      <c r="O286" s="83"/>
      <c r="P286" s="84"/>
      <c r="Q286" s="84"/>
      <c r="R286" s="85">
        <f>+R287</f>
        <v>23320000</v>
      </c>
      <c r="S286" s="471">
        <v>3400000</v>
      </c>
      <c r="T286" s="85"/>
      <c r="U286" s="86"/>
      <c r="V286" s="86"/>
      <c r="W286" s="80"/>
    </row>
    <row r="287" spans="2:23" ht="30" x14ac:dyDescent="0.2">
      <c r="B287" s="88"/>
      <c r="C287" s="89"/>
      <c r="D287" s="89"/>
      <c r="E287" s="89"/>
      <c r="F287" s="89"/>
      <c r="G287" s="89"/>
      <c r="H287" s="89"/>
      <c r="I287" s="89"/>
      <c r="J287" s="89"/>
      <c r="K287" s="96" t="s">
        <v>112476</v>
      </c>
      <c r="L287" s="55">
        <v>78121600</v>
      </c>
      <c r="M287" s="102" t="s">
        <v>113141</v>
      </c>
      <c r="N287" s="93">
        <v>45667</v>
      </c>
      <c r="O287" s="93" t="s">
        <v>113060</v>
      </c>
      <c r="P287" s="94" t="s">
        <v>113011</v>
      </c>
      <c r="Q287" s="94" t="s">
        <v>113053</v>
      </c>
      <c r="R287" s="95">
        <v>23320000</v>
      </c>
      <c r="S287" s="472"/>
      <c r="T287" s="95"/>
      <c r="U287" s="133"/>
      <c r="V287" s="193"/>
      <c r="W287" s="96" t="s">
        <v>113536</v>
      </c>
    </row>
    <row r="288" spans="2:23" ht="30" x14ac:dyDescent="0.2">
      <c r="B288" s="63" t="s">
        <v>105516</v>
      </c>
      <c r="C288" s="63" t="s">
        <v>105924</v>
      </c>
      <c r="D288" s="63" t="s">
        <v>105520</v>
      </c>
      <c r="E288" s="63" t="s">
        <v>105573</v>
      </c>
      <c r="F288" s="63" t="s">
        <v>105550</v>
      </c>
      <c r="G288" s="63"/>
      <c r="H288" s="63"/>
      <c r="I288" s="63"/>
      <c r="J288" s="414"/>
      <c r="K288" s="254"/>
      <c r="L288" s="65"/>
      <c r="M288" s="66" t="s">
        <v>106865</v>
      </c>
      <c r="N288" s="67"/>
      <c r="O288" s="190"/>
      <c r="P288" s="68"/>
      <c r="Q288" s="68"/>
      <c r="R288" s="69">
        <f>+R289+R296</f>
        <v>4104008893</v>
      </c>
      <c r="S288" s="469">
        <f>S289+S296</f>
        <v>964319487</v>
      </c>
      <c r="T288" s="69"/>
      <c r="U288" s="70"/>
      <c r="V288" s="70"/>
      <c r="W288" s="254"/>
    </row>
    <row r="289" spans="2:23" x14ac:dyDescent="0.2">
      <c r="B289" s="170" t="s">
        <v>105516</v>
      </c>
      <c r="C289" s="170" t="s">
        <v>105924</v>
      </c>
      <c r="D289" s="170" t="s">
        <v>105520</v>
      </c>
      <c r="E289" s="170" t="s">
        <v>105573</v>
      </c>
      <c r="F289" s="170" t="s">
        <v>105550</v>
      </c>
      <c r="G289" s="191" t="s">
        <v>105528</v>
      </c>
      <c r="H289" s="170"/>
      <c r="I289" s="170"/>
      <c r="J289" s="422"/>
      <c r="K289" s="170"/>
      <c r="L289" s="171"/>
      <c r="M289" s="172" t="s">
        <v>106867</v>
      </c>
      <c r="N289" s="173"/>
      <c r="O289" s="173"/>
      <c r="P289" s="174"/>
      <c r="Q289" s="174"/>
      <c r="R289" s="175">
        <f>R290</f>
        <v>3944008893</v>
      </c>
      <c r="S289" s="483">
        <f>S290</f>
        <v>816300287</v>
      </c>
      <c r="T289" s="175"/>
      <c r="U289" s="176"/>
      <c r="V289" s="176"/>
      <c r="W289" s="170"/>
    </row>
    <row r="290" spans="2:23" ht="30" x14ac:dyDescent="0.2">
      <c r="B290" s="81" t="s">
        <v>105516</v>
      </c>
      <c r="C290" s="81" t="s">
        <v>105924</v>
      </c>
      <c r="D290" s="81" t="s">
        <v>105520</v>
      </c>
      <c r="E290" s="81" t="s">
        <v>105573</v>
      </c>
      <c r="F290" s="81" t="s">
        <v>105550</v>
      </c>
      <c r="G290" s="81" t="s">
        <v>105528</v>
      </c>
      <c r="H290" s="81" t="s">
        <v>105675</v>
      </c>
      <c r="I290" s="81"/>
      <c r="J290" s="425"/>
      <c r="K290" s="81"/>
      <c r="L290" s="436"/>
      <c r="M290" s="304" t="s">
        <v>113222</v>
      </c>
      <c r="N290" s="83"/>
      <c r="O290" s="83"/>
      <c r="P290" s="84"/>
      <c r="Q290" s="84"/>
      <c r="R290" s="85">
        <f>R291+R293</f>
        <v>3944008893</v>
      </c>
      <c r="S290" s="471">
        <f>S291+S293</f>
        <v>816300287</v>
      </c>
      <c r="T290" s="85"/>
      <c r="U290" s="86"/>
      <c r="V290" s="86"/>
      <c r="W290" s="80"/>
    </row>
    <row r="291" spans="2:23" ht="29.25" customHeight="1" x14ac:dyDescent="0.2">
      <c r="B291" s="81" t="s">
        <v>105516</v>
      </c>
      <c r="C291" s="81" t="s">
        <v>105924</v>
      </c>
      <c r="D291" s="81" t="s">
        <v>105520</v>
      </c>
      <c r="E291" s="81" t="s">
        <v>105573</v>
      </c>
      <c r="F291" s="81" t="s">
        <v>105550</v>
      </c>
      <c r="G291" s="81" t="s">
        <v>105528</v>
      </c>
      <c r="H291" s="81" t="s">
        <v>105675</v>
      </c>
      <c r="I291" s="81" t="s">
        <v>106211</v>
      </c>
      <c r="J291" s="425"/>
      <c r="K291" s="81"/>
      <c r="L291" s="436"/>
      <c r="M291" s="304" t="s">
        <v>113223</v>
      </c>
      <c r="N291" s="83"/>
      <c r="O291" s="83"/>
      <c r="P291" s="84"/>
      <c r="Q291" s="84"/>
      <c r="R291" s="85">
        <f>R292</f>
        <v>126000000</v>
      </c>
      <c r="S291" s="471">
        <v>75000000</v>
      </c>
      <c r="T291" s="85"/>
      <c r="U291" s="86"/>
      <c r="V291" s="86"/>
      <c r="W291" s="80"/>
    </row>
    <row r="292" spans="2:23" ht="30" x14ac:dyDescent="0.2">
      <c r="B292" s="194"/>
      <c r="C292" s="195"/>
      <c r="D292" s="195"/>
      <c r="E292" s="195"/>
      <c r="F292" s="195"/>
      <c r="G292" s="195"/>
      <c r="H292" s="195"/>
      <c r="I292" s="195"/>
      <c r="J292" s="195"/>
      <c r="K292" s="96" t="s">
        <v>112489</v>
      </c>
      <c r="L292" s="55"/>
      <c r="M292" s="102" t="s">
        <v>113143</v>
      </c>
      <c r="N292" s="93" t="s">
        <v>113031</v>
      </c>
      <c r="O292" s="93" t="s">
        <v>113031</v>
      </c>
      <c r="P292" s="93" t="s">
        <v>113031</v>
      </c>
      <c r="Q292" s="93" t="s">
        <v>113031</v>
      </c>
      <c r="R292" s="95">
        <v>126000000</v>
      </c>
      <c r="S292" s="472"/>
      <c r="T292" s="95"/>
      <c r="U292" s="96"/>
      <c r="V292" s="97"/>
      <c r="W292" s="96" t="s">
        <v>113000</v>
      </c>
    </row>
    <row r="293" spans="2:23" ht="30" x14ac:dyDescent="0.2">
      <c r="B293" s="80" t="s">
        <v>105516</v>
      </c>
      <c r="C293" s="81" t="s">
        <v>105924</v>
      </c>
      <c r="D293" s="81" t="s">
        <v>105520</v>
      </c>
      <c r="E293" s="81" t="s">
        <v>105573</v>
      </c>
      <c r="F293" s="81" t="s">
        <v>105550</v>
      </c>
      <c r="G293" s="81" t="s">
        <v>105528</v>
      </c>
      <c r="H293" s="80" t="s">
        <v>105675</v>
      </c>
      <c r="I293" s="80" t="s">
        <v>106217</v>
      </c>
      <c r="J293" s="416"/>
      <c r="K293" s="81"/>
      <c r="L293" s="436"/>
      <c r="M293" s="304" t="s">
        <v>106892</v>
      </c>
      <c r="N293" s="83"/>
      <c r="O293" s="83"/>
      <c r="P293" s="84"/>
      <c r="Q293" s="84"/>
      <c r="R293" s="85">
        <f>R294</f>
        <v>3818008893</v>
      </c>
      <c r="S293" s="471">
        <f>S294</f>
        <v>741300287</v>
      </c>
      <c r="T293" s="85"/>
      <c r="U293" s="86"/>
      <c r="V293" s="86"/>
      <c r="W293" s="80"/>
    </row>
    <row r="294" spans="2:23" ht="30" x14ac:dyDescent="0.2">
      <c r="B294" s="80" t="s">
        <v>105516</v>
      </c>
      <c r="C294" s="81" t="s">
        <v>105924</v>
      </c>
      <c r="D294" s="81" t="s">
        <v>105520</v>
      </c>
      <c r="E294" s="81" t="s">
        <v>105573</v>
      </c>
      <c r="F294" s="81" t="s">
        <v>105550</v>
      </c>
      <c r="G294" s="81" t="s">
        <v>105528</v>
      </c>
      <c r="H294" s="80" t="s">
        <v>105675</v>
      </c>
      <c r="I294" s="80" t="s">
        <v>106217</v>
      </c>
      <c r="J294" s="416" t="s">
        <v>105917</v>
      </c>
      <c r="K294" s="81"/>
      <c r="L294" s="436"/>
      <c r="M294" s="304" t="s">
        <v>106900</v>
      </c>
      <c r="N294" s="83"/>
      <c r="O294" s="83"/>
      <c r="P294" s="84"/>
      <c r="Q294" s="84"/>
      <c r="R294" s="85">
        <f>R295</f>
        <v>3818008893</v>
      </c>
      <c r="S294" s="471">
        <v>741300287</v>
      </c>
      <c r="T294" s="85"/>
      <c r="U294" s="86"/>
      <c r="V294" s="86"/>
      <c r="W294" s="80"/>
    </row>
    <row r="295" spans="2:23" ht="45" x14ac:dyDescent="0.2">
      <c r="B295" s="194"/>
      <c r="C295" s="195"/>
      <c r="D295" s="195"/>
      <c r="E295" s="195"/>
      <c r="F295" s="195"/>
      <c r="G295" s="195"/>
      <c r="H295" s="195"/>
      <c r="I295" s="195"/>
      <c r="J295" s="195"/>
      <c r="K295" s="96" t="s">
        <v>112489</v>
      </c>
      <c r="L295" s="91" t="s">
        <v>113067</v>
      </c>
      <c r="M295" s="102" t="s">
        <v>113537</v>
      </c>
      <c r="N295" s="93"/>
      <c r="O295" s="93"/>
      <c r="P295" s="93"/>
      <c r="Q295" s="93" t="s">
        <v>113069</v>
      </c>
      <c r="R295" s="95">
        <v>3818008893</v>
      </c>
      <c r="S295" s="472"/>
      <c r="T295" s="95"/>
      <c r="U295" s="96" t="s">
        <v>105533</v>
      </c>
      <c r="V295" s="313">
        <v>2214579446</v>
      </c>
      <c r="W295" s="96" t="s">
        <v>113000</v>
      </c>
    </row>
    <row r="296" spans="2:23" x14ac:dyDescent="0.2">
      <c r="B296" s="170" t="s">
        <v>105516</v>
      </c>
      <c r="C296" s="170" t="s">
        <v>105924</v>
      </c>
      <c r="D296" s="170" t="s">
        <v>105520</v>
      </c>
      <c r="E296" s="170" t="s">
        <v>105573</v>
      </c>
      <c r="F296" s="170" t="s">
        <v>105550</v>
      </c>
      <c r="G296" s="170" t="s">
        <v>105535</v>
      </c>
      <c r="H296" s="170"/>
      <c r="I296" s="170"/>
      <c r="J296" s="422"/>
      <c r="K296" s="170"/>
      <c r="L296" s="171"/>
      <c r="M296" s="172" t="s">
        <v>106948</v>
      </c>
      <c r="N296" s="173"/>
      <c r="O296" s="173"/>
      <c r="P296" s="174"/>
      <c r="Q296" s="174"/>
      <c r="R296" s="175">
        <f>+R297</f>
        <v>160000000</v>
      </c>
      <c r="S296" s="483">
        <f>S297</f>
        <v>148019200</v>
      </c>
      <c r="T296" s="175"/>
      <c r="U296" s="176"/>
      <c r="V296" s="176"/>
      <c r="W296" s="170"/>
    </row>
    <row r="297" spans="2:23" ht="30" x14ac:dyDescent="0.2">
      <c r="B297" s="81" t="s">
        <v>105516</v>
      </c>
      <c r="C297" s="81" t="s">
        <v>105924</v>
      </c>
      <c r="D297" s="81" t="s">
        <v>105520</v>
      </c>
      <c r="E297" s="81" t="s">
        <v>105573</v>
      </c>
      <c r="F297" s="81" t="s">
        <v>105550</v>
      </c>
      <c r="G297" s="81" t="s">
        <v>105535</v>
      </c>
      <c r="H297" s="81" t="s">
        <v>105520</v>
      </c>
      <c r="I297" s="80"/>
      <c r="J297" s="416"/>
      <c r="K297" s="80"/>
      <c r="L297" s="436"/>
      <c r="M297" s="304" t="s">
        <v>106950</v>
      </c>
      <c r="N297" s="83"/>
      <c r="O297" s="83"/>
      <c r="P297" s="84"/>
      <c r="Q297" s="84"/>
      <c r="R297" s="85">
        <f>+R298</f>
        <v>160000000</v>
      </c>
      <c r="S297" s="471">
        <f>S298</f>
        <v>148019200</v>
      </c>
      <c r="T297" s="85"/>
      <c r="U297" s="86"/>
      <c r="V297" s="86"/>
      <c r="W297" s="341"/>
    </row>
    <row r="298" spans="2:23" ht="48" customHeight="1" x14ac:dyDescent="0.2">
      <c r="B298" s="81" t="s">
        <v>105516</v>
      </c>
      <c r="C298" s="81" t="s">
        <v>105924</v>
      </c>
      <c r="D298" s="81" t="s">
        <v>105520</v>
      </c>
      <c r="E298" s="81" t="s">
        <v>105573</v>
      </c>
      <c r="F298" s="81" t="s">
        <v>105550</v>
      </c>
      <c r="G298" s="81" t="s">
        <v>105535</v>
      </c>
      <c r="H298" s="80" t="s">
        <v>105520</v>
      </c>
      <c r="I298" s="80" t="s">
        <v>105576</v>
      </c>
      <c r="J298" s="416"/>
      <c r="K298" s="80"/>
      <c r="L298" s="436"/>
      <c r="M298" s="304" t="s">
        <v>106952</v>
      </c>
      <c r="N298" s="83"/>
      <c r="O298" s="83"/>
      <c r="P298" s="84"/>
      <c r="Q298" s="84"/>
      <c r="R298" s="85">
        <f>+R299</f>
        <v>160000000</v>
      </c>
      <c r="S298" s="471">
        <v>148019200</v>
      </c>
      <c r="T298" s="85"/>
      <c r="U298" s="86"/>
      <c r="V298" s="86"/>
      <c r="W298" s="341"/>
    </row>
    <row r="299" spans="2:23" x14ac:dyDescent="0.2">
      <c r="B299" s="194"/>
      <c r="C299" s="195"/>
      <c r="D299" s="195"/>
      <c r="E299" s="195"/>
      <c r="F299" s="195"/>
      <c r="G299" s="195"/>
      <c r="H299" s="195"/>
      <c r="I299" s="195"/>
      <c r="J299" s="195"/>
      <c r="K299" s="96" t="s">
        <v>112528</v>
      </c>
      <c r="L299" s="55"/>
      <c r="M299" s="92" t="s">
        <v>113144</v>
      </c>
      <c r="N299" s="93">
        <v>45659</v>
      </c>
      <c r="O299" s="93" t="s">
        <v>113060</v>
      </c>
      <c r="P299" s="132" t="s">
        <v>113068</v>
      </c>
      <c r="Q299" s="93" t="s">
        <v>113031</v>
      </c>
      <c r="R299" s="95">
        <v>160000000</v>
      </c>
      <c r="S299" s="474"/>
      <c r="T299" s="98"/>
      <c r="U299" s="96"/>
      <c r="V299" s="97"/>
      <c r="W299" s="96" t="s">
        <v>113064</v>
      </c>
    </row>
    <row r="300" spans="2:23" ht="30" x14ac:dyDescent="0.2">
      <c r="B300" s="63" t="s">
        <v>105516</v>
      </c>
      <c r="C300" s="63" t="s">
        <v>105924</v>
      </c>
      <c r="D300" s="63" t="s">
        <v>105520</v>
      </c>
      <c r="E300" s="63" t="s">
        <v>105573</v>
      </c>
      <c r="F300" s="63" t="s">
        <v>105553</v>
      </c>
      <c r="G300" s="63"/>
      <c r="H300" s="63"/>
      <c r="I300" s="63"/>
      <c r="J300" s="414"/>
      <c r="K300" s="254"/>
      <c r="L300" s="65"/>
      <c r="M300" s="66" t="s">
        <v>106978</v>
      </c>
      <c r="N300" s="67"/>
      <c r="O300" s="67"/>
      <c r="P300" s="68"/>
      <c r="Q300" s="68"/>
      <c r="R300" s="69">
        <f>+R301+R313+R325</f>
        <v>3188030000</v>
      </c>
      <c r="S300" s="469">
        <f>S301+S313+S325</f>
        <v>2616343740</v>
      </c>
      <c r="T300" s="69"/>
      <c r="U300" s="70"/>
      <c r="V300" s="70"/>
      <c r="W300" s="254"/>
    </row>
    <row r="301" spans="2:23" ht="45" x14ac:dyDescent="0.2">
      <c r="B301" s="170" t="s">
        <v>105516</v>
      </c>
      <c r="C301" s="170" t="s">
        <v>105924</v>
      </c>
      <c r="D301" s="170" t="s">
        <v>105520</v>
      </c>
      <c r="E301" s="170" t="s">
        <v>105573</v>
      </c>
      <c r="F301" s="170" t="s">
        <v>105553</v>
      </c>
      <c r="G301" s="170" t="s">
        <v>105538</v>
      </c>
      <c r="H301" s="170"/>
      <c r="I301" s="170"/>
      <c r="J301" s="422"/>
      <c r="K301" s="170"/>
      <c r="L301" s="171"/>
      <c r="M301" s="307" t="s">
        <v>113224</v>
      </c>
      <c r="N301" s="173"/>
      <c r="O301" s="173"/>
      <c r="P301" s="174"/>
      <c r="Q301" s="174"/>
      <c r="R301" s="175">
        <f>+R302</f>
        <v>333350000</v>
      </c>
      <c r="S301" s="483">
        <f>S302</f>
        <v>148300000</v>
      </c>
      <c r="T301" s="175"/>
      <c r="U301" s="176"/>
      <c r="V301" s="176"/>
      <c r="W301" s="170"/>
    </row>
    <row r="302" spans="2:23" ht="30" x14ac:dyDescent="0.2">
      <c r="B302" s="80" t="s">
        <v>105516</v>
      </c>
      <c r="C302" s="80" t="s">
        <v>105924</v>
      </c>
      <c r="D302" s="80" t="s">
        <v>105520</v>
      </c>
      <c r="E302" s="80" t="s">
        <v>105573</v>
      </c>
      <c r="F302" s="80" t="s">
        <v>105553</v>
      </c>
      <c r="G302" s="80" t="s">
        <v>105538</v>
      </c>
      <c r="H302" s="80" t="s">
        <v>105520</v>
      </c>
      <c r="I302" s="80"/>
      <c r="J302" s="416"/>
      <c r="K302" s="80"/>
      <c r="L302" s="436"/>
      <c r="M302" s="304" t="s">
        <v>107000</v>
      </c>
      <c r="N302" s="83"/>
      <c r="O302" s="83"/>
      <c r="P302" s="84"/>
      <c r="Q302" s="84"/>
      <c r="R302" s="85">
        <f>+R303</f>
        <v>333350000</v>
      </c>
      <c r="S302" s="471">
        <f>S303</f>
        <v>148300000</v>
      </c>
      <c r="T302" s="85"/>
      <c r="U302" s="86"/>
      <c r="V302" s="86"/>
      <c r="W302" s="341"/>
    </row>
    <row r="303" spans="2:23" ht="30" x14ac:dyDescent="0.2">
      <c r="B303" s="80" t="s">
        <v>105516</v>
      </c>
      <c r="C303" s="80" t="s">
        <v>105924</v>
      </c>
      <c r="D303" s="80" t="s">
        <v>105520</v>
      </c>
      <c r="E303" s="80" t="s">
        <v>105573</v>
      </c>
      <c r="F303" s="80" t="s">
        <v>105553</v>
      </c>
      <c r="G303" s="80" t="s">
        <v>105538</v>
      </c>
      <c r="H303" s="80" t="s">
        <v>105520</v>
      </c>
      <c r="I303" s="80" t="s">
        <v>105576</v>
      </c>
      <c r="J303" s="416"/>
      <c r="K303" s="80"/>
      <c r="L303" s="436"/>
      <c r="M303" s="304" t="s">
        <v>107002</v>
      </c>
      <c r="N303" s="83"/>
      <c r="O303" s="83"/>
      <c r="P303" s="84"/>
      <c r="Q303" s="84"/>
      <c r="R303" s="85">
        <f>SUM(R304:R312)</f>
        <v>333350000</v>
      </c>
      <c r="S303" s="471">
        <v>148300000</v>
      </c>
      <c r="T303" s="85"/>
      <c r="U303" s="86"/>
      <c r="V303" s="86"/>
      <c r="W303" s="341"/>
    </row>
    <row r="304" spans="2:23" ht="60" x14ac:dyDescent="0.2">
      <c r="B304" s="88"/>
      <c r="C304" s="89"/>
      <c r="D304" s="89"/>
      <c r="E304" s="89"/>
      <c r="F304" s="89"/>
      <c r="G304" s="89"/>
      <c r="H304" s="89"/>
      <c r="I304" s="89"/>
      <c r="J304" s="89"/>
      <c r="K304" s="96" t="s">
        <v>112567</v>
      </c>
      <c r="L304" s="91" t="s">
        <v>113295</v>
      </c>
      <c r="M304" s="102" t="s">
        <v>113520</v>
      </c>
      <c r="N304" s="93">
        <v>45684</v>
      </c>
      <c r="O304" s="93" t="s">
        <v>113037</v>
      </c>
      <c r="P304" s="94" t="s">
        <v>113002</v>
      </c>
      <c r="Q304" s="94" t="s">
        <v>113113</v>
      </c>
      <c r="R304" s="391">
        <v>35000000</v>
      </c>
      <c r="S304" s="472"/>
      <c r="T304" s="95"/>
      <c r="U304" s="96"/>
      <c r="V304" s="97"/>
      <c r="W304" s="96" t="s">
        <v>113019</v>
      </c>
    </row>
    <row r="305" spans="2:23" ht="75" x14ac:dyDescent="0.2">
      <c r="B305" s="138"/>
      <c r="C305" s="139"/>
      <c r="D305" s="139"/>
      <c r="E305" s="139"/>
      <c r="F305" s="139"/>
      <c r="G305" s="139"/>
      <c r="H305" s="139"/>
      <c r="I305" s="139"/>
      <c r="J305" s="139"/>
      <c r="K305" s="96" t="s">
        <v>112567</v>
      </c>
      <c r="L305" s="91">
        <v>80101500</v>
      </c>
      <c r="M305" s="102" t="s">
        <v>113515</v>
      </c>
      <c r="N305" s="93">
        <v>45677</v>
      </c>
      <c r="O305" s="93" t="s">
        <v>113037</v>
      </c>
      <c r="P305" s="94" t="s">
        <v>113011</v>
      </c>
      <c r="Q305" s="94" t="s">
        <v>113071</v>
      </c>
      <c r="R305" s="391">
        <f>4500000*11</f>
        <v>49500000</v>
      </c>
      <c r="S305" s="472"/>
      <c r="T305" s="95"/>
      <c r="U305" s="96"/>
      <c r="V305" s="97"/>
      <c r="W305" s="96" t="s">
        <v>113019</v>
      </c>
    </row>
    <row r="306" spans="2:23" ht="75" x14ac:dyDescent="0.2">
      <c r="B306" s="138"/>
      <c r="C306" s="139"/>
      <c r="D306" s="139"/>
      <c r="E306" s="139"/>
      <c r="F306" s="139"/>
      <c r="G306" s="139"/>
      <c r="H306" s="139"/>
      <c r="I306" s="139"/>
      <c r="J306" s="139"/>
      <c r="K306" s="96" t="s">
        <v>112567</v>
      </c>
      <c r="L306" s="91">
        <v>80101501</v>
      </c>
      <c r="M306" s="102" t="s">
        <v>113516</v>
      </c>
      <c r="N306" s="93">
        <v>45677</v>
      </c>
      <c r="O306" s="93" t="s">
        <v>113037</v>
      </c>
      <c r="P306" s="94" t="s">
        <v>113011</v>
      </c>
      <c r="Q306" s="94" t="s">
        <v>113071</v>
      </c>
      <c r="R306" s="391">
        <f>3500000*11</f>
        <v>38500000</v>
      </c>
      <c r="S306" s="472"/>
      <c r="T306" s="95"/>
      <c r="U306" s="96"/>
      <c r="V306" s="97"/>
      <c r="W306" s="96" t="s">
        <v>113019</v>
      </c>
    </row>
    <row r="307" spans="2:23" ht="45" x14ac:dyDescent="0.2">
      <c r="B307" s="138"/>
      <c r="C307" s="139"/>
      <c r="D307" s="139"/>
      <c r="E307" s="139"/>
      <c r="F307" s="139"/>
      <c r="G307" s="139"/>
      <c r="H307" s="139"/>
      <c r="I307" s="139"/>
      <c r="J307" s="139"/>
      <c r="K307" s="96" t="s">
        <v>112567</v>
      </c>
      <c r="L307" s="91">
        <v>80101500</v>
      </c>
      <c r="M307" s="102" t="s">
        <v>113517</v>
      </c>
      <c r="N307" s="93">
        <v>45677</v>
      </c>
      <c r="O307" s="93" t="s">
        <v>113037</v>
      </c>
      <c r="P307" s="94" t="s">
        <v>113011</v>
      </c>
      <c r="Q307" s="94" t="s">
        <v>113071</v>
      </c>
      <c r="R307" s="391">
        <f>4500000*11</f>
        <v>49500000</v>
      </c>
      <c r="S307" s="472"/>
      <c r="T307" s="95"/>
      <c r="U307" s="96"/>
      <c r="V307" s="97"/>
      <c r="W307" s="96" t="s">
        <v>113019</v>
      </c>
    </row>
    <row r="308" spans="2:23" s="203" customFormat="1" ht="60" x14ac:dyDescent="0.2">
      <c r="B308" s="197"/>
      <c r="C308" s="198"/>
      <c r="D308" s="198"/>
      <c r="E308" s="198"/>
      <c r="F308" s="198"/>
      <c r="G308" s="198"/>
      <c r="H308" s="198"/>
      <c r="I308" s="198"/>
      <c r="J308" s="198"/>
      <c r="K308" s="200" t="s">
        <v>112567</v>
      </c>
      <c r="L308" s="91">
        <v>80101500</v>
      </c>
      <c r="M308" s="102" t="s">
        <v>113518</v>
      </c>
      <c r="N308" s="93">
        <v>45677</v>
      </c>
      <c r="O308" s="93" t="s">
        <v>113037</v>
      </c>
      <c r="P308" s="94" t="s">
        <v>113011</v>
      </c>
      <c r="Q308" s="94" t="s">
        <v>113071</v>
      </c>
      <c r="R308" s="391">
        <f>4500000*11</f>
        <v>49500000</v>
      </c>
      <c r="S308" s="472"/>
      <c r="T308" s="95"/>
      <c r="U308" s="96"/>
      <c r="V308" s="97"/>
      <c r="W308" s="96" t="s">
        <v>113019</v>
      </c>
    </row>
    <row r="309" spans="2:23" s="203" customFormat="1" ht="30" x14ac:dyDescent="0.2">
      <c r="B309" s="197"/>
      <c r="C309" s="198"/>
      <c r="D309" s="198"/>
      <c r="E309" s="198"/>
      <c r="F309" s="198"/>
      <c r="G309" s="198"/>
      <c r="H309" s="198"/>
      <c r="I309" s="198"/>
      <c r="J309" s="198"/>
      <c r="K309" s="200" t="s">
        <v>112567</v>
      </c>
      <c r="L309" s="181">
        <v>80161500</v>
      </c>
      <c r="M309" s="102" t="s">
        <v>113538</v>
      </c>
      <c r="N309" s="93">
        <v>45667</v>
      </c>
      <c r="O309" s="93" t="s">
        <v>113060</v>
      </c>
      <c r="P309" s="94" t="s">
        <v>113011</v>
      </c>
      <c r="Q309" s="94" t="s">
        <v>113053</v>
      </c>
      <c r="R309" s="391">
        <v>47850000</v>
      </c>
      <c r="S309" s="472"/>
      <c r="T309" s="95"/>
      <c r="U309" s="133" t="s">
        <v>106081</v>
      </c>
      <c r="V309" s="193"/>
      <c r="W309" s="96" t="s">
        <v>113536</v>
      </c>
    </row>
    <row r="310" spans="2:23" s="203" customFormat="1" ht="60" x14ac:dyDescent="0.2">
      <c r="B310" s="197"/>
      <c r="C310" s="198"/>
      <c r="D310" s="198"/>
      <c r="E310" s="198"/>
      <c r="F310" s="198"/>
      <c r="G310" s="198"/>
      <c r="H310" s="198"/>
      <c r="I310" s="198"/>
      <c r="J310" s="198"/>
      <c r="K310" s="200" t="s">
        <v>112567</v>
      </c>
      <c r="L310" s="55">
        <v>80101500</v>
      </c>
      <c r="M310" s="102" t="s">
        <v>113396</v>
      </c>
      <c r="N310" s="93">
        <v>45667</v>
      </c>
      <c r="O310" s="93" t="s">
        <v>113060</v>
      </c>
      <c r="P310" s="94" t="s">
        <v>113002</v>
      </c>
      <c r="Q310" s="94" t="s">
        <v>113053</v>
      </c>
      <c r="R310" s="391">
        <v>26100000</v>
      </c>
      <c r="S310" s="472"/>
      <c r="T310" s="95"/>
      <c r="U310" s="133" t="s">
        <v>106081</v>
      </c>
      <c r="V310" s="193"/>
      <c r="W310" s="96" t="s">
        <v>113000</v>
      </c>
    </row>
    <row r="311" spans="2:23" s="203" customFormat="1" ht="30" x14ac:dyDescent="0.2">
      <c r="B311" s="197"/>
      <c r="C311" s="198"/>
      <c r="D311" s="198"/>
      <c r="E311" s="198"/>
      <c r="F311" s="198"/>
      <c r="G311" s="198"/>
      <c r="H311" s="198"/>
      <c r="I311" s="198"/>
      <c r="J311" s="198"/>
      <c r="K311" s="200" t="s">
        <v>112567</v>
      </c>
      <c r="L311" s="55">
        <v>80101500</v>
      </c>
      <c r="M311" s="102" t="s">
        <v>113539</v>
      </c>
      <c r="N311" s="93">
        <v>45667</v>
      </c>
      <c r="O311" s="93" t="s">
        <v>113060</v>
      </c>
      <c r="P311" s="94" t="s">
        <v>113011</v>
      </c>
      <c r="Q311" s="94" t="s">
        <v>113053</v>
      </c>
      <c r="R311" s="391">
        <v>37400000</v>
      </c>
      <c r="S311" s="472"/>
      <c r="T311" s="95"/>
      <c r="U311" s="133" t="s">
        <v>106081</v>
      </c>
      <c r="V311" s="193"/>
      <c r="W311" s="96" t="s">
        <v>113064</v>
      </c>
    </row>
    <row r="312" spans="2:23" x14ac:dyDescent="0.2">
      <c r="B312" s="138"/>
      <c r="C312" s="139"/>
      <c r="D312" s="139"/>
      <c r="E312" s="139"/>
      <c r="F312" s="139"/>
      <c r="G312" s="139"/>
      <c r="H312" s="139"/>
      <c r="I312" s="139"/>
      <c r="J312" s="139"/>
      <c r="K312" s="96" t="s">
        <v>112567</v>
      </c>
      <c r="L312" s="55"/>
      <c r="M312" s="92"/>
      <c r="N312" s="93"/>
      <c r="O312" s="93"/>
      <c r="P312" s="94"/>
      <c r="Q312" s="94"/>
      <c r="R312" s="95"/>
      <c r="S312" s="472"/>
      <c r="T312" s="95"/>
      <c r="U312" s="96"/>
      <c r="V312" s="97"/>
      <c r="W312" s="96"/>
    </row>
    <row r="313" spans="2:23" x14ac:dyDescent="0.2">
      <c r="B313" s="170" t="s">
        <v>105516</v>
      </c>
      <c r="C313" s="170" t="s">
        <v>105924</v>
      </c>
      <c r="D313" s="170" t="s">
        <v>105520</v>
      </c>
      <c r="E313" s="170" t="s">
        <v>105573</v>
      </c>
      <c r="F313" s="170" t="s">
        <v>105553</v>
      </c>
      <c r="G313" s="170" t="s">
        <v>105544</v>
      </c>
      <c r="H313" s="170"/>
      <c r="I313" s="170"/>
      <c r="J313" s="422"/>
      <c r="K313" s="170"/>
      <c r="L313" s="171"/>
      <c r="M313" s="172" t="s">
        <v>107054</v>
      </c>
      <c r="N313" s="173"/>
      <c r="O313" s="173"/>
      <c r="P313" s="174"/>
      <c r="Q313" s="174"/>
      <c r="R313" s="175">
        <f>SUM(R314+R317)</f>
        <v>2721680000</v>
      </c>
      <c r="S313" s="483">
        <f>S314+S317</f>
        <v>2443034940</v>
      </c>
      <c r="T313" s="175"/>
      <c r="U313" s="176"/>
      <c r="V313" s="176"/>
      <c r="W313" s="170"/>
    </row>
    <row r="314" spans="2:23" x14ac:dyDescent="0.2">
      <c r="B314" s="80" t="s">
        <v>105516</v>
      </c>
      <c r="C314" s="80" t="s">
        <v>105924</v>
      </c>
      <c r="D314" s="80" t="s">
        <v>105520</v>
      </c>
      <c r="E314" s="80" t="s">
        <v>105573</v>
      </c>
      <c r="F314" s="80" t="s">
        <v>105553</v>
      </c>
      <c r="G314" s="80" t="s">
        <v>105544</v>
      </c>
      <c r="H314" s="80" t="s">
        <v>105573</v>
      </c>
      <c r="I314" s="80"/>
      <c r="J314" s="416"/>
      <c r="K314" s="80"/>
      <c r="L314" s="436"/>
      <c r="M314" s="82" t="s">
        <v>113148</v>
      </c>
      <c r="N314" s="83"/>
      <c r="O314" s="83"/>
      <c r="P314" s="84"/>
      <c r="Q314" s="84"/>
      <c r="R314" s="85">
        <f>SUM(R315:R316)</f>
        <v>332760000</v>
      </c>
      <c r="S314" s="471">
        <v>330912042.60000002</v>
      </c>
      <c r="T314" s="85"/>
      <c r="U314" s="86"/>
      <c r="V314" s="86"/>
      <c r="W314" s="341"/>
    </row>
    <row r="315" spans="2:23" ht="45" x14ac:dyDescent="0.2">
      <c r="B315" s="88"/>
      <c r="C315" s="89"/>
      <c r="D315" s="89"/>
      <c r="E315" s="89"/>
      <c r="F315" s="89"/>
      <c r="G315" s="89"/>
      <c r="H315" s="89"/>
      <c r="I315" s="89"/>
      <c r="J315" s="89"/>
      <c r="K315" s="96" t="s">
        <v>112595</v>
      </c>
      <c r="L315" s="204">
        <v>92121500</v>
      </c>
      <c r="M315" s="92" t="s">
        <v>113540</v>
      </c>
      <c r="N315" s="93"/>
      <c r="O315" s="93"/>
      <c r="P315" s="94"/>
      <c r="Q315" s="132"/>
      <c r="R315" s="205">
        <v>221840000</v>
      </c>
      <c r="S315" s="484"/>
      <c r="T315" s="205"/>
      <c r="U315" s="186" t="s">
        <v>106081</v>
      </c>
      <c r="V315" s="97"/>
      <c r="W315" s="96" t="s">
        <v>113000</v>
      </c>
    </row>
    <row r="316" spans="2:23" ht="45" x14ac:dyDescent="0.2">
      <c r="B316" s="138"/>
      <c r="C316" s="139"/>
      <c r="D316" s="139"/>
      <c r="E316" s="139"/>
      <c r="F316" s="139"/>
      <c r="G316" s="139"/>
      <c r="H316" s="139"/>
      <c r="I316" s="139"/>
      <c r="J316" s="139"/>
      <c r="K316" s="96" t="s">
        <v>112595</v>
      </c>
      <c r="L316" s="204">
        <v>92121500</v>
      </c>
      <c r="M316" s="92" t="s">
        <v>113541</v>
      </c>
      <c r="N316" s="93">
        <v>45838</v>
      </c>
      <c r="O316" s="93" t="s">
        <v>112997</v>
      </c>
      <c r="P316" s="94" t="s">
        <v>113007</v>
      </c>
      <c r="Q316" s="94" t="s">
        <v>113069</v>
      </c>
      <c r="R316" s="95">
        <f>R315/8*4</f>
        <v>110920000</v>
      </c>
      <c r="S316" s="472"/>
      <c r="T316" s="95"/>
      <c r="U316" s="96" t="s">
        <v>105533</v>
      </c>
      <c r="V316" s="313">
        <f>CEILING(((R316/4*8)*1.05),10000)</f>
        <v>232940000</v>
      </c>
      <c r="W316" s="96" t="s">
        <v>113000</v>
      </c>
    </row>
    <row r="317" spans="2:23" x14ac:dyDescent="0.2">
      <c r="B317" s="80" t="s">
        <v>105516</v>
      </c>
      <c r="C317" s="80" t="s">
        <v>105924</v>
      </c>
      <c r="D317" s="80" t="s">
        <v>105520</v>
      </c>
      <c r="E317" s="80" t="s">
        <v>105573</v>
      </c>
      <c r="F317" s="80" t="s">
        <v>105553</v>
      </c>
      <c r="G317" s="80" t="s">
        <v>105544</v>
      </c>
      <c r="H317" s="80" t="s">
        <v>105675</v>
      </c>
      <c r="I317" s="80"/>
      <c r="J317" s="416"/>
      <c r="K317" s="80"/>
      <c r="L317" s="436"/>
      <c r="M317" s="82" t="s">
        <v>107060</v>
      </c>
      <c r="N317" s="83"/>
      <c r="O317" s="83" t="s">
        <v>112995</v>
      </c>
      <c r="P317" s="84"/>
      <c r="Q317" s="84"/>
      <c r="R317" s="85">
        <f>SUM(R318:R324)</f>
        <v>2388920000</v>
      </c>
      <c r="S317" s="471">
        <v>2112122897.4000001</v>
      </c>
      <c r="T317" s="85"/>
      <c r="U317" s="86"/>
      <c r="V317" s="86"/>
      <c r="W317" s="341"/>
    </row>
    <row r="318" spans="2:23" ht="30" x14ac:dyDescent="0.2">
      <c r="B318" s="88"/>
      <c r="C318" s="89"/>
      <c r="D318" s="89"/>
      <c r="E318" s="89"/>
      <c r="F318" s="89"/>
      <c r="G318" s="89"/>
      <c r="H318" s="89"/>
      <c r="I318" s="89"/>
      <c r="J318" s="89"/>
      <c r="K318" s="96" t="s">
        <v>112595</v>
      </c>
      <c r="L318" s="55">
        <v>76111500</v>
      </c>
      <c r="M318" s="92" t="s">
        <v>113542</v>
      </c>
      <c r="N318" s="93"/>
      <c r="O318" s="93"/>
      <c r="P318" s="94"/>
      <c r="Q318" s="132"/>
      <c r="R318" s="205">
        <v>1217040000</v>
      </c>
      <c r="S318" s="484"/>
      <c r="T318" s="205"/>
      <c r="U318" s="186" t="s">
        <v>106081</v>
      </c>
      <c r="V318" s="97"/>
      <c r="W318" s="96" t="s">
        <v>113000</v>
      </c>
    </row>
    <row r="319" spans="2:23" ht="45" x14ac:dyDescent="0.2">
      <c r="B319" s="138"/>
      <c r="C319" s="139"/>
      <c r="D319" s="139"/>
      <c r="E319" s="139"/>
      <c r="F319" s="139"/>
      <c r="G319" s="139"/>
      <c r="H319" s="139"/>
      <c r="I319" s="139"/>
      <c r="J319" s="139"/>
      <c r="K319" s="96" t="s">
        <v>112595</v>
      </c>
      <c r="L319" s="55">
        <v>76111500</v>
      </c>
      <c r="M319" s="92" t="s">
        <v>113543</v>
      </c>
      <c r="N319" s="93">
        <v>45838</v>
      </c>
      <c r="O319" s="93" t="s">
        <v>112997</v>
      </c>
      <c r="P319" s="94" t="s">
        <v>113007</v>
      </c>
      <c r="Q319" s="94" t="s">
        <v>113069</v>
      </c>
      <c r="R319" s="95">
        <f>R318/8*4</f>
        <v>608520000</v>
      </c>
      <c r="S319" s="472"/>
      <c r="T319" s="95"/>
      <c r="U319" s="96" t="s">
        <v>105533</v>
      </c>
      <c r="V319" s="313">
        <f>CEILING(((R319/4*8)*1.05),10000)</f>
        <v>1277900000</v>
      </c>
      <c r="W319" s="96" t="s">
        <v>113000</v>
      </c>
    </row>
    <row r="320" spans="2:23" ht="45" x14ac:dyDescent="0.2">
      <c r="B320" s="138"/>
      <c r="C320" s="139"/>
      <c r="D320" s="139"/>
      <c r="E320" s="139"/>
      <c r="F320" s="139"/>
      <c r="G320" s="139"/>
      <c r="H320" s="139"/>
      <c r="I320" s="139"/>
      <c r="J320" s="139"/>
      <c r="K320" s="96" t="s">
        <v>112595</v>
      </c>
      <c r="L320" s="55">
        <v>76111500</v>
      </c>
      <c r="M320" s="92" t="s">
        <v>113544</v>
      </c>
      <c r="N320" s="93"/>
      <c r="O320" s="93"/>
      <c r="P320" s="132"/>
      <c r="Q320" s="94"/>
      <c r="R320" s="95">
        <v>224240000</v>
      </c>
      <c r="S320" s="472"/>
      <c r="T320" s="95"/>
      <c r="U320" s="96" t="s">
        <v>106081</v>
      </c>
      <c r="V320" s="206"/>
      <c r="W320" s="96" t="s">
        <v>113000</v>
      </c>
    </row>
    <row r="321" spans="2:23" ht="45" x14ac:dyDescent="0.2">
      <c r="B321" s="138"/>
      <c r="C321" s="139"/>
      <c r="D321" s="139"/>
      <c r="E321" s="139"/>
      <c r="F321" s="139"/>
      <c r="G321" s="139"/>
      <c r="H321" s="139"/>
      <c r="I321" s="139"/>
      <c r="J321" s="139"/>
      <c r="K321" s="96" t="s">
        <v>112595</v>
      </c>
      <c r="L321" s="55">
        <v>76111500</v>
      </c>
      <c r="M321" s="92" t="s">
        <v>113545</v>
      </c>
      <c r="N321" s="93">
        <v>45838</v>
      </c>
      <c r="O321" s="93" t="s">
        <v>112997</v>
      </c>
      <c r="P321" s="94" t="s">
        <v>113007</v>
      </c>
      <c r="Q321" s="94" t="s">
        <v>113069</v>
      </c>
      <c r="R321" s="95">
        <f>R320/8*4</f>
        <v>112120000</v>
      </c>
      <c r="S321" s="472"/>
      <c r="T321" s="95"/>
      <c r="U321" s="96" t="s">
        <v>105533</v>
      </c>
      <c r="V321" s="313">
        <f>CEILING(((R321/4*8)*1.05),10000)</f>
        <v>235460000</v>
      </c>
      <c r="W321" s="96" t="s">
        <v>113000</v>
      </c>
    </row>
    <row r="322" spans="2:23" ht="30" x14ac:dyDescent="0.2">
      <c r="B322" s="138"/>
      <c r="C322" s="139"/>
      <c r="D322" s="139"/>
      <c r="E322" s="139"/>
      <c r="F322" s="139"/>
      <c r="G322" s="139"/>
      <c r="H322" s="139"/>
      <c r="I322" s="139"/>
      <c r="J322" s="139"/>
      <c r="K322" s="96" t="s">
        <v>112595</v>
      </c>
      <c r="L322" s="91" t="s">
        <v>113153</v>
      </c>
      <c r="M322" s="92" t="s">
        <v>113154</v>
      </c>
      <c r="N322" s="93">
        <v>45365</v>
      </c>
      <c r="O322" s="93" t="s">
        <v>113087</v>
      </c>
      <c r="P322" s="94" t="s">
        <v>113002</v>
      </c>
      <c r="Q322" s="94" t="s">
        <v>112999</v>
      </c>
      <c r="R322" s="118">
        <f>CEILING((60000000*1.12),1000000)</f>
        <v>68000000</v>
      </c>
      <c r="S322" s="472"/>
      <c r="T322" s="95"/>
      <c r="U322" s="96" t="s">
        <v>106081</v>
      </c>
      <c r="V322" s="97"/>
      <c r="W322" s="96" t="s">
        <v>113000</v>
      </c>
    </row>
    <row r="323" spans="2:23" ht="45" x14ac:dyDescent="0.2">
      <c r="B323" s="138"/>
      <c r="C323" s="139"/>
      <c r="D323" s="139"/>
      <c r="E323" s="139"/>
      <c r="F323" s="139"/>
      <c r="G323" s="139"/>
      <c r="H323" s="139"/>
      <c r="I323" s="139"/>
      <c r="J323" s="139"/>
      <c r="K323" s="96" t="s">
        <v>112595</v>
      </c>
      <c r="L323" s="55">
        <v>72102100</v>
      </c>
      <c r="M323" s="92" t="s">
        <v>113156</v>
      </c>
      <c r="N323" s="93">
        <v>45365</v>
      </c>
      <c r="O323" s="93" t="s">
        <v>113087</v>
      </c>
      <c r="P323" s="94" t="s">
        <v>113002</v>
      </c>
      <c r="Q323" s="94" t="s">
        <v>112999</v>
      </c>
      <c r="R323" s="118">
        <f>CEILING((150000000*1.06),10000)</f>
        <v>159000000</v>
      </c>
      <c r="S323" s="472"/>
      <c r="T323" s="95"/>
      <c r="U323" s="96" t="s">
        <v>106081</v>
      </c>
      <c r="V323" s="97"/>
      <c r="W323" s="96" t="s">
        <v>113000</v>
      </c>
    </row>
    <row r="324" spans="2:23" x14ac:dyDescent="0.2">
      <c r="B324" s="138"/>
      <c r="C324" s="139"/>
      <c r="D324" s="139"/>
      <c r="E324" s="139"/>
      <c r="F324" s="139"/>
      <c r="G324" s="139"/>
      <c r="H324" s="139"/>
      <c r="I324" s="139"/>
      <c r="J324" s="139"/>
      <c r="K324" s="96" t="s">
        <v>112595</v>
      </c>
      <c r="L324" s="55"/>
      <c r="M324" s="92"/>
      <c r="N324" s="93"/>
      <c r="O324" s="93"/>
      <c r="P324" s="94"/>
      <c r="Q324" s="94"/>
      <c r="R324" s="95"/>
      <c r="S324" s="472"/>
      <c r="T324" s="95"/>
      <c r="U324" s="96"/>
      <c r="V324" s="144"/>
      <c r="W324" s="96"/>
    </row>
    <row r="325" spans="2:23" ht="30" x14ac:dyDescent="0.2">
      <c r="B325" s="170" t="s">
        <v>105516</v>
      </c>
      <c r="C325" s="170" t="s">
        <v>105924</v>
      </c>
      <c r="D325" s="170" t="s">
        <v>105520</v>
      </c>
      <c r="E325" s="170" t="s">
        <v>105573</v>
      </c>
      <c r="F325" s="170" t="s">
        <v>105553</v>
      </c>
      <c r="G325" s="170" t="s">
        <v>105550</v>
      </c>
      <c r="H325" s="170"/>
      <c r="I325" s="170"/>
      <c r="J325" s="422"/>
      <c r="K325" s="170"/>
      <c r="L325" s="171"/>
      <c r="M325" s="307" t="s">
        <v>107092</v>
      </c>
      <c r="N325" s="173"/>
      <c r="O325" s="173" t="s">
        <v>112995</v>
      </c>
      <c r="P325" s="174"/>
      <c r="Q325" s="174"/>
      <c r="R325" s="175">
        <f>+R326</f>
        <v>133000000</v>
      </c>
      <c r="S325" s="483">
        <f>S326</f>
        <v>25008800</v>
      </c>
      <c r="T325" s="175"/>
      <c r="U325" s="176"/>
      <c r="V325" s="176"/>
      <c r="W325" s="170"/>
    </row>
    <row r="326" spans="2:23" ht="30" x14ac:dyDescent="0.2">
      <c r="B326" s="80" t="s">
        <v>105516</v>
      </c>
      <c r="C326" s="80" t="s">
        <v>105924</v>
      </c>
      <c r="D326" s="80" t="s">
        <v>105520</v>
      </c>
      <c r="E326" s="80" t="s">
        <v>105573</v>
      </c>
      <c r="F326" s="80" t="s">
        <v>105553</v>
      </c>
      <c r="G326" s="80" t="s">
        <v>105550</v>
      </c>
      <c r="H326" s="80" t="s">
        <v>105520</v>
      </c>
      <c r="I326" s="80"/>
      <c r="J326" s="416"/>
      <c r="K326" s="80"/>
      <c r="L326" s="436"/>
      <c r="M326" s="304" t="s">
        <v>107094</v>
      </c>
      <c r="N326" s="83"/>
      <c r="O326" s="83" t="s">
        <v>112995</v>
      </c>
      <c r="P326" s="84"/>
      <c r="Q326" s="84"/>
      <c r="R326" s="85">
        <f>+R327</f>
        <v>133000000</v>
      </c>
      <c r="S326" s="471">
        <f>S327</f>
        <v>25008800</v>
      </c>
      <c r="T326" s="85"/>
      <c r="U326" s="86"/>
      <c r="V326" s="86"/>
      <c r="W326" s="341"/>
    </row>
    <row r="327" spans="2:23" ht="30" x14ac:dyDescent="0.2">
      <c r="B327" s="80" t="s">
        <v>105516</v>
      </c>
      <c r="C327" s="80" t="s">
        <v>105924</v>
      </c>
      <c r="D327" s="80" t="s">
        <v>105520</v>
      </c>
      <c r="E327" s="80" t="s">
        <v>105573</v>
      </c>
      <c r="F327" s="80" t="s">
        <v>105553</v>
      </c>
      <c r="G327" s="80" t="s">
        <v>105550</v>
      </c>
      <c r="H327" s="80" t="s">
        <v>105520</v>
      </c>
      <c r="I327" s="80" t="s">
        <v>106217</v>
      </c>
      <c r="J327" s="416"/>
      <c r="K327" s="80"/>
      <c r="L327" s="436"/>
      <c r="M327" s="304" t="s">
        <v>107104</v>
      </c>
      <c r="N327" s="83"/>
      <c r="O327" s="83" t="s">
        <v>112995</v>
      </c>
      <c r="P327" s="84"/>
      <c r="Q327" s="84"/>
      <c r="R327" s="85">
        <f>SUM(R328:R329)</f>
        <v>133000000</v>
      </c>
      <c r="S327" s="471">
        <v>25008800</v>
      </c>
      <c r="T327" s="85"/>
      <c r="U327" s="86"/>
      <c r="V327" s="86"/>
      <c r="W327" s="341"/>
    </row>
    <row r="328" spans="2:23" ht="45" x14ac:dyDescent="0.2">
      <c r="B328" s="88"/>
      <c r="C328" s="89"/>
      <c r="D328" s="89"/>
      <c r="E328" s="89"/>
      <c r="F328" s="89"/>
      <c r="G328" s="89"/>
      <c r="H328" s="89"/>
      <c r="I328" s="89"/>
      <c r="J328" s="89"/>
      <c r="K328" s="96" t="s">
        <v>112614</v>
      </c>
      <c r="L328" s="91" t="s">
        <v>113244</v>
      </c>
      <c r="M328" s="102" t="s">
        <v>113519</v>
      </c>
      <c r="N328" s="93">
        <v>45760</v>
      </c>
      <c r="O328" s="93" t="s">
        <v>113087</v>
      </c>
      <c r="P328" s="94" t="s">
        <v>113002</v>
      </c>
      <c r="Q328" s="94" t="s">
        <v>113038</v>
      </c>
      <c r="R328" s="449">
        <v>80000000</v>
      </c>
      <c r="S328" s="472"/>
      <c r="T328" s="95"/>
      <c r="U328" s="96"/>
      <c r="V328" s="97"/>
      <c r="W328" s="96" t="s">
        <v>113019</v>
      </c>
    </row>
    <row r="329" spans="2:23" ht="45" x14ac:dyDescent="0.2">
      <c r="B329" s="88"/>
      <c r="C329" s="89"/>
      <c r="D329" s="89"/>
      <c r="E329" s="89"/>
      <c r="F329" s="89"/>
      <c r="G329" s="89"/>
      <c r="H329" s="89"/>
      <c r="I329" s="89"/>
      <c r="J329" s="89"/>
      <c r="K329" s="96" t="s">
        <v>112614</v>
      </c>
      <c r="L329" s="207">
        <v>73152100</v>
      </c>
      <c r="M329" s="120" t="s">
        <v>113157</v>
      </c>
      <c r="N329" s="93">
        <v>45838</v>
      </c>
      <c r="O329" s="93" t="s">
        <v>113546</v>
      </c>
      <c r="P329" s="94"/>
      <c r="Q329" s="94" t="s">
        <v>113007</v>
      </c>
      <c r="R329" s="118">
        <f>CEILING((50000000*1.06),10000)</f>
        <v>53000000</v>
      </c>
      <c r="S329" s="472"/>
      <c r="T329" s="95"/>
      <c r="U329" s="96"/>
      <c r="V329" s="97"/>
      <c r="W329" s="96" t="s">
        <v>113000</v>
      </c>
    </row>
    <row r="330" spans="2:23" x14ac:dyDescent="0.2">
      <c r="B330" s="63" t="s">
        <v>105516</v>
      </c>
      <c r="C330" s="63" t="s">
        <v>105924</v>
      </c>
      <c r="D330" s="63" t="s">
        <v>105520</v>
      </c>
      <c r="E330" s="63" t="s">
        <v>105573</v>
      </c>
      <c r="F330" s="63" t="s">
        <v>105556</v>
      </c>
      <c r="G330" s="63"/>
      <c r="H330" s="63"/>
      <c r="I330" s="63"/>
      <c r="J330" s="414"/>
      <c r="K330" s="254"/>
      <c r="L330" s="65"/>
      <c r="M330" s="306" t="s">
        <v>107164</v>
      </c>
      <c r="N330" s="67"/>
      <c r="O330" s="67"/>
      <c r="P330" s="68"/>
      <c r="Q330" s="68"/>
      <c r="R330" s="69"/>
      <c r="S330" s="469">
        <f>S331</f>
        <v>4866000</v>
      </c>
      <c r="T330" s="69"/>
      <c r="U330" s="70"/>
      <c r="V330" s="70"/>
      <c r="W330" s="254"/>
    </row>
    <row r="331" spans="2:23" ht="45" x14ac:dyDescent="0.2">
      <c r="B331" s="170" t="s">
        <v>105516</v>
      </c>
      <c r="C331" s="170" t="s">
        <v>105924</v>
      </c>
      <c r="D331" s="170" t="s">
        <v>105520</v>
      </c>
      <c r="E331" s="170" t="s">
        <v>105573</v>
      </c>
      <c r="F331" s="170" t="s">
        <v>105556</v>
      </c>
      <c r="G331" s="170" t="s">
        <v>105541</v>
      </c>
      <c r="H331" s="170"/>
      <c r="I331" s="170"/>
      <c r="J331" s="422"/>
      <c r="K331" s="170"/>
      <c r="L331" s="171"/>
      <c r="M331" s="307" t="s">
        <v>107192</v>
      </c>
      <c r="N331" s="173"/>
      <c r="O331" s="173" t="s">
        <v>112995</v>
      </c>
      <c r="P331" s="174"/>
      <c r="Q331" s="174"/>
      <c r="R331" s="175">
        <f>+R332</f>
        <v>0</v>
      </c>
      <c r="S331" s="483">
        <f>S332</f>
        <v>4866000</v>
      </c>
      <c r="T331" s="175"/>
      <c r="U331" s="176"/>
      <c r="V331" s="176"/>
      <c r="W331" s="170"/>
    </row>
    <row r="332" spans="2:23" x14ac:dyDescent="0.2">
      <c r="B332" s="80" t="s">
        <v>105516</v>
      </c>
      <c r="C332" s="80" t="s">
        <v>105924</v>
      </c>
      <c r="D332" s="80" t="s">
        <v>105520</v>
      </c>
      <c r="E332" s="80" t="s">
        <v>105573</v>
      </c>
      <c r="F332" s="81" t="s">
        <v>105556</v>
      </c>
      <c r="G332" s="81" t="s">
        <v>105541</v>
      </c>
      <c r="H332" s="81" t="s">
        <v>106109</v>
      </c>
      <c r="I332" s="80"/>
      <c r="J332" s="416"/>
      <c r="K332" s="80"/>
      <c r="L332" s="436"/>
      <c r="M332" s="304" t="s">
        <v>107204</v>
      </c>
      <c r="N332" s="83"/>
      <c r="O332" s="83" t="s">
        <v>112995</v>
      </c>
      <c r="P332" s="84"/>
      <c r="Q332" s="84"/>
      <c r="R332" s="85">
        <f>+R335</f>
        <v>0</v>
      </c>
      <c r="S332" s="471">
        <v>4866000</v>
      </c>
      <c r="T332" s="85"/>
      <c r="U332" s="86"/>
      <c r="V332" s="86"/>
      <c r="W332" s="341"/>
    </row>
    <row r="333" spans="2:23" x14ac:dyDescent="0.2">
      <c r="B333" s="88"/>
      <c r="C333" s="89"/>
      <c r="D333" s="89"/>
      <c r="E333" s="89"/>
      <c r="F333" s="89"/>
      <c r="G333" s="89"/>
      <c r="H333" s="89"/>
      <c r="I333" s="89"/>
      <c r="J333" s="89"/>
      <c r="K333" s="96" t="s">
        <v>112664</v>
      </c>
      <c r="L333" s="91"/>
      <c r="M333" s="131"/>
      <c r="N333" s="121"/>
      <c r="O333" s="93"/>
      <c r="P333" s="132"/>
      <c r="Q333" s="132"/>
      <c r="R333" s="118"/>
      <c r="S333" s="477"/>
      <c r="T333" s="118"/>
      <c r="U333" s="96"/>
      <c r="V333" s="95"/>
      <c r="W333" s="96"/>
    </row>
    <row r="334" spans="2:23" x14ac:dyDescent="0.2">
      <c r="B334" s="88"/>
      <c r="C334" s="89"/>
      <c r="D334" s="89"/>
      <c r="E334" s="89"/>
      <c r="F334" s="89"/>
      <c r="G334" s="89"/>
      <c r="H334" s="89"/>
      <c r="I334" s="89"/>
      <c r="J334" s="89"/>
      <c r="K334" s="96" t="s">
        <v>112664</v>
      </c>
      <c r="L334" s="127"/>
      <c r="M334" s="92"/>
      <c r="N334" s="93"/>
      <c r="O334" s="93"/>
      <c r="P334" s="132"/>
      <c r="Q334" s="94"/>
      <c r="R334" s="95"/>
      <c r="S334" s="472"/>
      <c r="T334" s="95"/>
      <c r="U334" s="96"/>
      <c r="V334" s="97"/>
      <c r="W334" s="96"/>
    </row>
    <row r="335" spans="2:23" x14ac:dyDescent="0.2">
      <c r="B335" s="138"/>
      <c r="C335" s="139"/>
      <c r="D335" s="139"/>
      <c r="E335" s="139"/>
      <c r="F335" s="139"/>
      <c r="G335" s="139"/>
      <c r="H335" s="139"/>
      <c r="I335" s="139"/>
      <c r="J335" s="139"/>
      <c r="K335" s="96" t="s">
        <v>112664</v>
      </c>
      <c r="L335" s="127"/>
      <c r="M335" s="120"/>
      <c r="N335" s="121"/>
      <c r="O335" s="93"/>
      <c r="P335" s="94"/>
      <c r="Q335" s="132"/>
      <c r="R335" s="95"/>
      <c r="S335" s="472"/>
      <c r="T335" s="95"/>
      <c r="U335" s="96"/>
      <c r="V335" s="97"/>
      <c r="W335" s="96"/>
    </row>
    <row r="336" spans="2:23" ht="15.75" x14ac:dyDescent="0.2">
      <c r="B336" s="208" t="s">
        <v>105516</v>
      </c>
      <c r="C336" s="208" t="s">
        <v>106103</v>
      </c>
      <c r="D336" s="208"/>
      <c r="E336" s="208"/>
      <c r="F336" s="208"/>
      <c r="G336" s="208"/>
      <c r="H336" s="208"/>
      <c r="I336" s="208"/>
      <c r="J336" s="426"/>
      <c r="K336" s="404"/>
      <c r="L336" s="210"/>
      <c r="M336" s="211" t="s">
        <v>112750</v>
      </c>
      <c r="N336" s="212"/>
      <c r="O336" s="212" t="s">
        <v>112995</v>
      </c>
      <c r="P336" s="213"/>
      <c r="Q336" s="213"/>
      <c r="R336" s="214">
        <f>SUM(R337+R340)</f>
        <v>230000000</v>
      </c>
      <c r="S336" s="485">
        <f>S337+S340</f>
        <v>1978000000</v>
      </c>
      <c r="T336" s="214">
        <v>5800000000</v>
      </c>
      <c r="U336" s="215"/>
      <c r="V336" s="215"/>
      <c r="W336" s="404"/>
    </row>
    <row r="337" spans="2:23" ht="15.75" x14ac:dyDescent="0.2">
      <c r="B337" s="217" t="s">
        <v>105516</v>
      </c>
      <c r="C337" s="217" t="s">
        <v>106103</v>
      </c>
      <c r="D337" s="217" t="s">
        <v>105520</v>
      </c>
      <c r="E337" s="217"/>
      <c r="F337" s="217"/>
      <c r="G337" s="217"/>
      <c r="H337" s="217"/>
      <c r="I337" s="217"/>
      <c r="J337" s="427"/>
      <c r="K337" s="217"/>
      <c r="L337" s="218"/>
      <c r="M337" s="219" t="s">
        <v>112752</v>
      </c>
      <c r="N337" s="220"/>
      <c r="O337" s="220" t="s">
        <v>112995</v>
      </c>
      <c r="P337" s="221"/>
      <c r="Q337" s="221"/>
      <c r="R337" s="222">
        <f>R338+R339</f>
        <v>230000000</v>
      </c>
      <c r="S337" s="486">
        <v>158000000</v>
      </c>
      <c r="T337" s="222"/>
      <c r="U337" s="223"/>
      <c r="V337" s="223"/>
      <c r="W337" s="217"/>
    </row>
    <row r="338" spans="2:23" ht="15.75" x14ac:dyDescent="0.2">
      <c r="B338" s="225"/>
      <c r="C338" s="226"/>
      <c r="D338" s="226"/>
      <c r="E338" s="226"/>
      <c r="F338" s="226"/>
      <c r="G338" s="226"/>
      <c r="H338" s="226"/>
      <c r="I338" s="226"/>
      <c r="J338" s="226"/>
      <c r="K338" s="96" t="s">
        <v>112751</v>
      </c>
      <c r="L338" s="127"/>
      <c r="M338" s="102" t="s">
        <v>112754</v>
      </c>
      <c r="N338" s="94" t="s">
        <v>113031</v>
      </c>
      <c r="O338" s="94" t="s">
        <v>113031</v>
      </c>
      <c r="P338" s="94" t="s">
        <v>113031</v>
      </c>
      <c r="Q338" s="94" t="s">
        <v>113031</v>
      </c>
      <c r="R338" s="95">
        <v>150000000</v>
      </c>
      <c r="S338" s="472"/>
      <c r="T338" s="95"/>
      <c r="U338" s="96"/>
      <c r="V338" s="201"/>
      <c r="W338" s="398" t="s">
        <v>113012</v>
      </c>
    </row>
    <row r="339" spans="2:23" ht="15.75" x14ac:dyDescent="0.2">
      <c r="B339" s="225"/>
      <c r="C339" s="226"/>
      <c r="D339" s="226"/>
      <c r="E339" s="226"/>
      <c r="F339" s="226"/>
      <c r="G339" s="226"/>
      <c r="H339" s="226"/>
      <c r="I339" s="226"/>
      <c r="J339" s="226"/>
      <c r="K339" s="96" t="s">
        <v>112751</v>
      </c>
      <c r="L339" s="127"/>
      <c r="M339" s="102" t="s">
        <v>112756</v>
      </c>
      <c r="N339" s="94" t="s">
        <v>113031</v>
      </c>
      <c r="O339" s="94" t="s">
        <v>113031</v>
      </c>
      <c r="P339" s="94" t="s">
        <v>113031</v>
      </c>
      <c r="Q339" s="94" t="s">
        <v>113031</v>
      </c>
      <c r="R339" s="95">
        <v>80000000</v>
      </c>
      <c r="S339" s="472"/>
      <c r="T339" s="95"/>
      <c r="U339" s="96"/>
      <c r="V339" s="201"/>
      <c r="W339" s="398" t="s">
        <v>113012</v>
      </c>
    </row>
    <row r="340" spans="2:23" ht="15.75" x14ac:dyDescent="0.2">
      <c r="B340" s="217" t="s">
        <v>105516</v>
      </c>
      <c r="C340" s="217" t="s">
        <v>106103</v>
      </c>
      <c r="D340" s="217" t="s">
        <v>105675</v>
      </c>
      <c r="E340" s="217"/>
      <c r="F340" s="217"/>
      <c r="G340" s="217"/>
      <c r="H340" s="217"/>
      <c r="I340" s="217"/>
      <c r="J340" s="427"/>
      <c r="K340" s="217"/>
      <c r="L340" s="218"/>
      <c r="M340" s="219" t="s">
        <v>112762</v>
      </c>
      <c r="N340" s="220"/>
      <c r="O340" s="220" t="s">
        <v>112995</v>
      </c>
      <c r="P340" s="221"/>
      <c r="Q340" s="221"/>
      <c r="R340" s="222">
        <f>+R341</f>
        <v>0</v>
      </c>
      <c r="S340" s="486">
        <v>1820000000</v>
      </c>
      <c r="T340" s="222"/>
      <c r="U340" s="223"/>
      <c r="V340" s="223"/>
      <c r="W340" s="217"/>
    </row>
    <row r="341" spans="2:23" ht="15.75" x14ac:dyDescent="0.2">
      <c r="B341" s="225"/>
      <c r="C341" s="226"/>
      <c r="D341" s="226"/>
      <c r="E341" s="226"/>
      <c r="F341" s="226"/>
      <c r="G341" s="226"/>
      <c r="H341" s="226"/>
      <c r="I341" s="226"/>
      <c r="J341" s="226"/>
      <c r="K341" s="96" t="s">
        <v>112761</v>
      </c>
      <c r="L341" s="127"/>
      <c r="M341" s="102"/>
      <c r="N341" s="94"/>
      <c r="O341" s="94"/>
      <c r="P341" s="94"/>
      <c r="Q341" s="94"/>
      <c r="R341" s="95"/>
      <c r="S341" s="472"/>
      <c r="T341" s="95"/>
      <c r="U341" s="96"/>
      <c r="V341" s="201"/>
      <c r="W341" s="200"/>
    </row>
    <row r="342" spans="2:23" ht="15.75" x14ac:dyDescent="0.2">
      <c r="B342" s="229" t="s">
        <v>105516</v>
      </c>
      <c r="C342" s="229" t="s">
        <v>106106</v>
      </c>
      <c r="D342" s="229"/>
      <c r="E342" s="229"/>
      <c r="F342" s="229"/>
      <c r="G342" s="229"/>
      <c r="H342" s="229"/>
      <c r="I342" s="229"/>
      <c r="J342" s="428"/>
      <c r="K342" s="405"/>
      <c r="L342" s="231"/>
      <c r="M342" s="232" t="s">
        <v>112766</v>
      </c>
      <c r="N342" s="233"/>
      <c r="O342" s="233" t="s">
        <v>112995</v>
      </c>
      <c r="P342" s="234"/>
      <c r="Q342" s="234"/>
      <c r="R342" s="235">
        <f>SUM(R343+R351+R354)</f>
        <v>3804214242</v>
      </c>
      <c r="S342" s="487">
        <f>S343+S351+S354</f>
        <v>3821000000</v>
      </c>
      <c r="T342" s="235">
        <v>4535000000</v>
      </c>
      <c r="U342" s="236"/>
      <c r="V342" s="236"/>
      <c r="W342" s="405"/>
    </row>
    <row r="343" spans="2:23" ht="15.75" x14ac:dyDescent="0.2">
      <c r="B343" s="238" t="s">
        <v>105516</v>
      </c>
      <c r="C343" s="238" t="s">
        <v>106106</v>
      </c>
      <c r="D343" s="238" t="s">
        <v>105520</v>
      </c>
      <c r="E343" s="238"/>
      <c r="F343" s="238"/>
      <c r="G343" s="238"/>
      <c r="H343" s="238"/>
      <c r="I343" s="238"/>
      <c r="J343" s="429"/>
      <c r="K343" s="238"/>
      <c r="L343" s="239"/>
      <c r="M343" s="240" t="s">
        <v>112768</v>
      </c>
      <c r="N343" s="241"/>
      <c r="O343" s="241" t="s">
        <v>112995</v>
      </c>
      <c r="P343" s="242"/>
      <c r="Q343" s="242"/>
      <c r="R343" s="243">
        <f>+R344</f>
        <v>3804214242</v>
      </c>
      <c r="S343" s="488">
        <f>S344</f>
        <v>3586000000</v>
      </c>
      <c r="T343" s="243"/>
      <c r="U343" s="244"/>
      <c r="V343" s="244"/>
      <c r="W343" s="238"/>
    </row>
    <row r="344" spans="2:23" x14ac:dyDescent="0.2">
      <c r="B344" s="246" t="s">
        <v>105516</v>
      </c>
      <c r="C344" s="246" t="s">
        <v>106106</v>
      </c>
      <c r="D344" s="246" t="s">
        <v>105520</v>
      </c>
      <c r="E344" s="246" t="s">
        <v>105573</v>
      </c>
      <c r="F344" s="246"/>
      <c r="G344" s="246"/>
      <c r="H344" s="246"/>
      <c r="I344" s="246"/>
      <c r="J344" s="430"/>
      <c r="K344" s="246"/>
      <c r="L344" s="247"/>
      <c r="M344" s="248" t="s">
        <v>112780</v>
      </c>
      <c r="N344" s="249"/>
      <c r="O344" s="249" t="s">
        <v>112995</v>
      </c>
      <c r="P344" s="250"/>
      <c r="Q344" s="250"/>
      <c r="R344" s="251">
        <f>+R345+R347+R349</f>
        <v>3804214242</v>
      </c>
      <c r="S344" s="489">
        <f>S345+S347+S349</f>
        <v>3586000000</v>
      </c>
      <c r="T344" s="251"/>
      <c r="U344" s="252"/>
      <c r="V344" s="252"/>
      <c r="W344" s="246"/>
    </row>
    <row r="345" spans="2:23" x14ac:dyDescent="0.2">
      <c r="B345" s="254" t="s">
        <v>105516</v>
      </c>
      <c r="C345" s="254" t="s">
        <v>106106</v>
      </c>
      <c r="D345" s="254" t="s">
        <v>105520</v>
      </c>
      <c r="E345" s="254" t="s">
        <v>105573</v>
      </c>
      <c r="F345" s="254" t="s">
        <v>105528</v>
      </c>
      <c r="G345" s="254"/>
      <c r="H345" s="254"/>
      <c r="I345" s="254"/>
      <c r="J345" s="431"/>
      <c r="K345" s="254"/>
      <c r="L345" s="65"/>
      <c r="M345" s="66" t="s">
        <v>113160</v>
      </c>
      <c r="N345" s="67"/>
      <c r="O345" s="67" t="s">
        <v>112995</v>
      </c>
      <c r="P345" s="68"/>
      <c r="Q345" s="68"/>
      <c r="R345" s="69">
        <f>+R346</f>
        <v>3804214242</v>
      </c>
      <c r="S345" s="469">
        <v>3492000000</v>
      </c>
      <c r="T345" s="69"/>
      <c r="U345" s="70"/>
      <c r="V345" s="70"/>
      <c r="W345" s="254"/>
    </row>
    <row r="346" spans="2:23" x14ac:dyDescent="0.2">
      <c r="B346" s="88"/>
      <c r="C346" s="89"/>
      <c r="D346" s="89"/>
      <c r="E346" s="89"/>
      <c r="F346" s="89"/>
      <c r="G346" s="89"/>
      <c r="H346" s="89"/>
      <c r="I346" s="89"/>
      <c r="J346" s="89"/>
      <c r="K346" s="96" t="s">
        <v>112781</v>
      </c>
      <c r="L346" s="255"/>
      <c r="M346" s="92" t="s">
        <v>112782</v>
      </c>
      <c r="N346" s="94"/>
      <c r="O346" s="94"/>
      <c r="P346" s="94"/>
      <c r="Q346" s="94"/>
      <c r="R346" s="205">
        <v>3804214242</v>
      </c>
      <c r="S346" s="205"/>
      <c r="T346" s="205"/>
      <c r="U346" s="96"/>
      <c r="V346" s="256"/>
      <c r="W346" s="200"/>
    </row>
    <row r="347" spans="2:23" x14ac:dyDescent="0.2">
      <c r="B347" s="254" t="s">
        <v>105516</v>
      </c>
      <c r="C347" s="254" t="s">
        <v>106106</v>
      </c>
      <c r="D347" s="254" t="s">
        <v>105520</v>
      </c>
      <c r="E347" s="254" t="s">
        <v>105573</v>
      </c>
      <c r="F347" s="254" t="s">
        <v>105538</v>
      </c>
      <c r="G347" s="254"/>
      <c r="H347" s="254"/>
      <c r="I347" s="254"/>
      <c r="J347" s="431"/>
      <c r="K347" s="254"/>
      <c r="L347" s="65"/>
      <c r="M347" s="66" t="s">
        <v>112786</v>
      </c>
      <c r="N347" s="67"/>
      <c r="O347" s="67" t="s">
        <v>112995</v>
      </c>
      <c r="P347" s="68"/>
      <c r="Q347" s="68"/>
      <c r="R347" s="69">
        <f>+R348</f>
        <v>0</v>
      </c>
      <c r="S347" s="469">
        <v>90000000</v>
      </c>
      <c r="T347" s="69"/>
      <c r="U347" s="70"/>
      <c r="V347" s="70"/>
      <c r="W347" s="254"/>
    </row>
    <row r="348" spans="2:23" x14ac:dyDescent="0.2">
      <c r="B348" s="88"/>
      <c r="C348" s="89"/>
      <c r="D348" s="89"/>
      <c r="E348" s="89"/>
      <c r="F348" s="89"/>
      <c r="G348" s="89"/>
      <c r="H348" s="89"/>
      <c r="I348" s="89"/>
      <c r="J348" s="89"/>
      <c r="K348" s="96" t="s">
        <v>112785</v>
      </c>
      <c r="L348" s="127"/>
      <c r="M348" s="92"/>
      <c r="N348" s="94"/>
      <c r="O348" s="94"/>
      <c r="P348" s="94"/>
      <c r="Q348" s="94"/>
      <c r="R348" s="95"/>
      <c r="S348" s="472"/>
      <c r="T348" s="95"/>
      <c r="U348" s="96"/>
      <c r="V348" s="97"/>
      <c r="W348" s="96"/>
    </row>
    <row r="349" spans="2:23" x14ac:dyDescent="0.2">
      <c r="B349" s="254" t="s">
        <v>105516</v>
      </c>
      <c r="C349" s="254" t="s">
        <v>106106</v>
      </c>
      <c r="D349" s="254" t="s">
        <v>105520</v>
      </c>
      <c r="E349" s="254" t="s">
        <v>105573</v>
      </c>
      <c r="F349" s="254" t="s">
        <v>105547</v>
      </c>
      <c r="G349" s="254"/>
      <c r="H349" s="254"/>
      <c r="I349" s="254"/>
      <c r="J349" s="431"/>
      <c r="K349" s="254"/>
      <c r="L349" s="65"/>
      <c r="M349" s="66" t="s">
        <v>112792</v>
      </c>
      <c r="N349" s="67"/>
      <c r="O349" s="67" t="s">
        <v>112995</v>
      </c>
      <c r="P349" s="68"/>
      <c r="Q349" s="68"/>
      <c r="R349" s="69">
        <f>+R350</f>
        <v>0</v>
      </c>
      <c r="S349" s="469">
        <v>4000000</v>
      </c>
      <c r="T349" s="69"/>
      <c r="U349" s="70"/>
      <c r="V349" s="70"/>
      <c r="W349" s="254"/>
    </row>
    <row r="350" spans="2:23" x14ac:dyDescent="0.2">
      <c r="B350" s="88"/>
      <c r="C350" s="89"/>
      <c r="D350" s="89"/>
      <c r="E350" s="89"/>
      <c r="F350" s="89"/>
      <c r="G350" s="89"/>
      <c r="H350" s="89"/>
      <c r="I350" s="89"/>
      <c r="J350" s="89"/>
      <c r="K350" s="96" t="s">
        <v>112791</v>
      </c>
      <c r="L350" s="127"/>
      <c r="M350" s="92"/>
      <c r="N350" s="94"/>
      <c r="O350" s="94"/>
      <c r="P350" s="94"/>
      <c r="Q350" s="94"/>
      <c r="R350" s="95"/>
      <c r="S350" s="472"/>
      <c r="T350" s="95"/>
      <c r="U350" s="96"/>
      <c r="V350" s="97"/>
      <c r="W350" s="96"/>
    </row>
    <row r="351" spans="2:23" ht="15.75" x14ac:dyDescent="0.2">
      <c r="B351" s="238" t="s">
        <v>105516</v>
      </c>
      <c r="C351" s="238" t="s">
        <v>106106</v>
      </c>
      <c r="D351" s="238" t="s">
        <v>105917</v>
      </c>
      <c r="E351" s="238"/>
      <c r="F351" s="238"/>
      <c r="G351" s="238"/>
      <c r="H351" s="238"/>
      <c r="I351" s="238"/>
      <c r="J351" s="429"/>
      <c r="K351" s="238"/>
      <c r="L351" s="239"/>
      <c r="M351" s="240" t="s">
        <v>112804</v>
      </c>
      <c r="N351" s="241"/>
      <c r="O351" s="241" t="s">
        <v>112995</v>
      </c>
      <c r="P351" s="242"/>
      <c r="Q351" s="242"/>
      <c r="R351" s="243">
        <f>+R352+R353</f>
        <v>0</v>
      </c>
      <c r="S351" s="488">
        <f>S352+S353</f>
        <v>182000000</v>
      </c>
      <c r="T351" s="243"/>
      <c r="U351" s="244"/>
      <c r="V351" s="244"/>
      <c r="W351" s="238"/>
    </row>
    <row r="352" spans="2:23" x14ac:dyDescent="0.2">
      <c r="B352" s="246" t="s">
        <v>105516</v>
      </c>
      <c r="C352" s="246" t="s">
        <v>106106</v>
      </c>
      <c r="D352" s="246" t="s">
        <v>105917</v>
      </c>
      <c r="E352" s="246" t="s">
        <v>105520</v>
      </c>
      <c r="F352" s="246"/>
      <c r="G352" s="246"/>
      <c r="H352" s="246"/>
      <c r="I352" s="246"/>
      <c r="J352" s="430"/>
      <c r="K352" s="246" t="s">
        <v>112805</v>
      </c>
      <c r="L352" s="247"/>
      <c r="M352" s="248" t="s">
        <v>112806</v>
      </c>
      <c r="N352" s="249" t="s">
        <v>112995</v>
      </c>
      <c r="O352" s="249" t="s">
        <v>113031</v>
      </c>
      <c r="P352" s="250"/>
      <c r="Q352" s="250"/>
      <c r="R352" s="258"/>
      <c r="S352" s="490">
        <v>136000000</v>
      </c>
      <c r="T352" s="258"/>
      <c r="U352" s="246"/>
      <c r="V352" s="259"/>
      <c r="W352" s="246"/>
    </row>
    <row r="353" spans="2:23" x14ac:dyDescent="0.2">
      <c r="B353" s="246" t="s">
        <v>105516</v>
      </c>
      <c r="C353" s="246" t="s">
        <v>106106</v>
      </c>
      <c r="D353" s="246" t="s">
        <v>105917</v>
      </c>
      <c r="E353" s="246" t="s">
        <v>105917</v>
      </c>
      <c r="F353" s="246"/>
      <c r="G353" s="246"/>
      <c r="H353" s="246"/>
      <c r="I353" s="246"/>
      <c r="J353" s="430"/>
      <c r="K353" s="246" t="s">
        <v>112811</v>
      </c>
      <c r="L353" s="247"/>
      <c r="M353" s="248" t="s">
        <v>113162</v>
      </c>
      <c r="N353" s="249"/>
      <c r="O353" s="249"/>
      <c r="P353" s="250"/>
      <c r="Q353" s="250"/>
      <c r="R353" s="258"/>
      <c r="S353" s="490">
        <v>46000000</v>
      </c>
      <c r="T353" s="258"/>
      <c r="U353" s="246"/>
      <c r="V353" s="259"/>
      <c r="W353" s="246"/>
    </row>
    <row r="354" spans="2:23" ht="15.75" x14ac:dyDescent="0.2">
      <c r="B354" s="238" t="s">
        <v>105516</v>
      </c>
      <c r="C354" s="238" t="s">
        <v>106106</v>
      </c>
      <c r="D354" s="260" t="s">
        <v>105924</v>
      </c>
      <c r="E354" s="238"/>
      <c r="F354" s="238"/>
      <c r="G354" s="238"/>
      <c r="H354" s="238"/>
      <c r="I354" s="238"/>
      <c r="J354" s="429"/>
      <c r="K354" s="238"/>
      <c r="L354" s="239"/>
      <c r="M354" s="240" t="s">
        <v>112822</v>
      </c>
      <c r="N354" s="241"/>
      <c r="O354" s="241" t="s">
        <v>112995</v>
      </c>
      <c r="P354" s="242"/>
      <c r="Q354" s="242"/>
      <c r="R354" s="243">
        <f>+R355</f>
        <v>0</v>
      </c>
      <c r="S354" s="488">
        <f>S355</f>
        <v>53000000</v>
      </c>
      <c r="T354" s="243"/>
      <c r="U354" s="244"/>
      <c r="V354" s="244"/>
      <c r="W354" s="238"/>
    </row>
    <row r="355" spans="2:23" x14ac:dyDescent="0.2">
      <c r="B355" s="246" t="s">
        <v>105516</v>
      </c>
      <c r="C355" s="246" t="s">
        <v>106106</v>
      </c>
      <c r="D355" s="261" t="s">
        <v>105924</v>
      </c>
      <c r="E355" s="246"/>
      <c r="F355" s="246"/>
      <c r="G355" s="246"/>
      <c r="H355" s="246"/>
      <c r="I355" s="246"/>
      <c r="J355" s="430"/>
      <c r="K355" s="246"/>
      <c r="L355" s="247"/>
      <c r="M355" s="248" t="s">
        <v>112822</v>
      </c>
      <c r="N355" s="249" t="s">
        <v>112995</v>
      </c>
      <c r="O355" s="249" t="s">
        <v>113031</v>
      </c>
      <c r="P355" s="250"/>
      <c r="Q355" s="250"/>
      <c r="R355" s="258">
        <v>0</v>
      </c>
      <c r="S355" s="490">
        <v>53000000</v>
      </c>
      <c r="T355" s="258"/>
      <c r="U355" s="246"/>
      <c r="V355" s="259"/>
      <c r="W355" s="246"/>
    </row>
    <row r="356" spans="2:23" ht="15.75" x14ac:dyDescent="0.2">
      <c r="B356" s="262" t="s">
        <v>113163</v>
      </c>
      <c r="C356" s="262"/>
      <c r="D356" s="262"/>
      <c r="E356" s="262"/>
      <c r="F356" s="262"/>
      <c r="G356" s="262"/>
      <c r="H356" s="262"/>
      <c r="I356" s="262"/>
      <c r="J356" s="432"/>
      <c r="K356" s="262"/>
      <c r="L356" s="263"/>
      <c r="M356" s="264" t="s">
        <v>113164</v>
      </c>
      <c r="N356" s="265"/>
      <c r="O356" s="265" t="s">
        <v>112995</v>
      </c>
      <c r="P356" s="266"/>
      <c r="Q356" s="266"/>
      <c r="R356" s="267">
        <f>R357</f>
        <v>38560000000.004799</v>
      </c>
      <c r="S356" s="491">
        <f>S357</f>
        <v>38560000000</v>
      </c>
      <c r="T356" s="267">
        <f>+T359+T396</f>
        <v>38200000000</v>
      </c>
      <c r="U356" s="268"/>
      <c r="V356" s="268"/>
      <c r="W356" s="262"/>
    </row>
    <row r="357" spans="2:23" ht="30.75" customHeight="1" x14ac:dyDescent="0.2">
      <c r="B357" s="270" t="s">
        <v>113163</v>
      </c>
      <c r="C357" s="270" t="s">
        <v>113165</v>
      </c>
      <c r="D357" s="270"/>
      <c r="E357" s="270"/>
      <c r="F357" s="270"/>
      <c r="G357" s="270"/>
      <c r="H357" s="270"/>
      <c r="I357" s="270"/>
      <c r="J357" s="433"/>
      <c r="K357" s="270"/>
      <c r="L357" s="271"/>
      <c r="M357" s="272" t="s">
        <v>113166</v>
      </c>
      <c r="N357" s="273"/>
      <c r="O357" s="273" t="s">
        <v>112995</v>
      </c>
      <c r="P357" s="274"/>
      <c r="Q357" s="274"/>
      <c r="R357" s="275">
        <f>+R358</f>
        <v>38560000000.004799</v>
      </c>
      <c r="S357" s="492">
        <f>S358</f>
        <v>38560000000</v>
      </c>
      <c r="T357" s="275"/>
      <c r="U357" s="276"/>
      <c r="V357" s="276"/>
      <c r="W357" s="406"/>
    </row>
    <row r="358" spans="2:23" ht="15.75" x14ac:dyDescent="0.2">
      <c r="B358" s="278" t="s">
        <v>113163</v>
      </c>
      <c r="C358" s="278">
        <v>1505</v>
      </c>
      <c r="D358" s="309" t="s">
        <v>113167</v>
      </c>
      <c r="E358" s="278"/>
      <c r="F358" s="278"/>
      <c r="G358" s="278"/>
      <c r="H358" s="278"/>
      <c r="I358" s="278"/>
      <c r="J358" s="434"/>
      <c r="K358" s="278"/>
      <c r="L358" s="279"/>
      <c r="M358" s="280" t="s">
        <v>113168</v>
      </c>
      <c r="N358" s="281"/>
      <c r="O358" s="281" t="s">
        <v>112995</v>
      </c>
      <c r="P358" s="282"/>
      <c r="Q358" s="282"/>
      <c r="R358" s="283">
        <f>+R396+R359</f>
        <v>38560000000.004799</v>
      </c>
      <c r="S358" s="493">
        <f>S359+S396</f>
        <v>38560000000</v>
      </c>
      <c r="T358" s="283"/>
      <c r="U358" s="284"/>
      <c r="V358" s="284"/>
      <c r="W358" s="407"/>
    </row>
    <row r="359" spans="2:23" ht="30" x14ac:dyDescent="0.2">
      <c r="B359" s="254" t="s">
        <v>113163</v>
      </c>
      <c r="C359" s="254">
        <v>1505</v>
      </c>
      <c r="D359" s="254" t="s">
        <v>113167</v>
      </c>
      <c r="E359" s="308" t="s">
        <v>105675</v>
      </c>
      <c r="F359" s="254"/>
      <c r="G359" s="254"/>
      <c r="H359" s="254"/>
      <c r="I359" s="254"/>
      <c r="J359" s="431"/>
      <c r="K359" s="254"/>
      <c r="L359" s="65"/>
      <c r="M359" s="66" t="s">
        <v>113182</v>
      </c>
      <c r="N359" s="67"/>
      <c r="O359" s="67" t="s">
        <v>112995</v>
      </c>
      <c r="P359" s="68"/>
      <c r="Q359" s="68"/>
      <c r="R359" s="69">
        <f>+R360</f>
        <v>20795000000.004799</v>
      </c>
      <c r="S359" s="469">
        <f>S360</f>
        <v>20795000000</v>
      </c>
      <c r="T359" s="69">
        <v>17200000000</v>
      </c>
      <c r="U359" s="70"/>
      <c r="V359" s="70"/>
      <c r="W359" s="254"/>
    </row>
    <row r="360" spans="2:23" ht="15.75" x14ac:dyDescent="0.2">
      <c r="B360" s="289" t="s">
        <v>113163</v>
      </c>
      <c r="C360" s="289">
        <v>1505</v>
      </c>
      <c r="D360" s="289" t="s">
        <v>113167</v>
      </c>
      <c r="E360" s="289" t="s">
        <v>105675</v>
      </c>
      <c r="F360" s="289" t="s">
        <v>113226</v>
      </c>
      <c r="G360" s="289">
        <v>1505006</v>
      </c>
      <c r="H360" s="289"/>
      <c r="I360" s="289"/>
      <c r="J360" s="435"/>
      <c r="K360" s="289"/>
      <c r="L360" s="35"/>
      <c r="M360" s="36" t="s">
        <v>112994</v>
      </c>
      <c r="N360" s="290"/>
      <c r="O360" s="290" t="s">
        <v>112995</v>
      </c>
      <c r="P360" s="291"/>
      <c r="Q360" s="291"/>
      <c r="R360" s="296">
        <f>SUM(R361:R395)</f>
        <v>20795000000.004799</v>
      </c>
      <c r="S360" s="494">
        <v>20795000000</v>
      </c>
      <c r="T360" s="296"/>
      <c r="U360" s="297"/>
      <c r="V360" s="297"/>
      <c r="W360" s="408"/>
    </row>
    <row r="361" spans="2:23" ht="60" x14ac:dyDescent="0.2">
      <c r="B361" s="88"/>
      <c r="C361" s="89"/>
      <c r="D361" s="89"/>
      <c r="E361" s="89"/>
      <c r="F361" s="89"/>
      <c r="G361" s="89"/>
      <c r="H361" s="89"/>
      <c r="I361" s="89"/>
      <c r="J361" s="89"/>
      <c r="K361" s="96" t="s">
        <v>113185</v>
      </c>
      <c r="L361" s="91"/>
      <c r="M361" s="438" t="s">
        <v>113454</v>
      </c>
      <c r="N361" s="93"/>
      <c r="O361" s="93"/>
      <c r="P361" s="94"/>
      <c r="Q361" s="94"/>
      <c r="R361" s="118">
        <v>3191426295.0047998</v>
      </c>
      <c r="S361" s="477"/>
      <c r="T361" s="118"/>
      <c r="U361" s="96"/>
      <c r="V361" s="141"/>
      <c r="W361" s="400"/>
    </row>
    <row r="362" spans="2:23" ht="105" x14ac:dyDescent="0.2">
      <c r="B362" s="88"/>
      <c r="C362" s="89"/>
      <c r="D362" s="89"/>
      <c r="E362" s="89"/>
      <c r="F362" s="89"/>
      <c r="G362" s="89"/>
      <c r="H362" s="89"/>
      <c r="I362" s="89"/>
      <c r="J362" s="89"/>
      <c r="K362" s="96" t="s">
        <v>113185</v>
      </c>
      <c r="L362" s="55"/>
      <c r="M362" s="438" t="s">
        <v>113455</v>
      </c>
      <c r="N362" s="93"/>
      <c r="O362" s="93"/>
      <c r="P362" s="94"/>
      <c r="Q362" s="94"/>
      <c r="R362" s="118">
        <v>285450049</v>
      </c>
      <c r="S362" s="477"/>
      <c r="T362" s="118"/>
      <c r="U362" s="96"/>
      <c r="V362" s="141"/>
      <c r="W362" s="400"/>
    </row>
    <row r="363" spans="2:23" ht="60" x14ac:dyDescent="0.2">
      <c r="B363" s="88"/>
      <c r="C363" s="89"/>
      <c r="D363" s="89"/>
      <c r="E363" s="89"/>
      <c r="F363" s="89"/>
      <c r="G363" s="89"/>
      <c r="H363" s="89"/>
      <c r="I363" s="89"/>
      <c r="J363" s="89"/>
      <c r="K363" s="96" t="s">
        <v>113185</v>
      </c>
      <c r="L363" s="91"/>
      <c r="M363" s="438" t="s">
        <v>113456</v>
      </c>
      <c r="N363" s="93"/>
      <c r="O363" s="93"/>
      <c r="P363" s="94"/>
      <c r="Q363" s="94"/>
      <c r="R363" s="118">
        <v>873272719.76999998</v>
      </c>
      <c r="S363" s="477"/>
      <c r="T363" s="118"/>
      <c r="U363" s="96"/>
      <c r="V363" s="141"/>
      <c r="W363" s="400"/>
    </row>
    <row r="364" spans="2:23" ht="90" x14ac:dyDescent="0.2">
      <c r="B364" s="88"/>
      <c r="C364" s="89"/>
      <c r="D364" s="89"/>
      <c r="E364" s="89"/>
      <c r="F364" s="89"/>
      <c r="G364" s="89"/>
      <c r="H364" s="89"/>
      <c r="I364" s="89"/>
      <c r="J364" s="89"/>
      <c r="K364" s="96" t="s">
        <v>113185</v>
      </c>
      <c r="L364" s="55"/>
      <c r="M364" s="438" t="s">
        <v>113457</v>
      </c>
      <c r="N364" s="93"/>
      <c r="O364" s="93"/>
      <c r="P364" s="94"/>
      <c r="Q364" s="94"/>
      <c r="R364" s="118">
        <v>104065708</v>
      </c>
      <c r="S364" s="477"/>
      <c r="T364" s="118"/>
      <c r="U364" s="96"/>
      <c r="V364" s="141"/>
      <c r="W364" s="400"/>
    </row>
    <row r="365" spans="2:23" ht="60" x14ac:dyDescent="0.2">
      <c r="B365" s="88"/>
      <c r="C365" s="89"/>
      <c r="D365" s="89"/>
      <c r="E365" s="89"/>
      <c r="F365" s="89"/>
      <c r="G365" s="89"/>
      <c r="H365" s="89"/>
      <c r="I365" s="89"/>
      <c r="J365" s="89"/>
      <c r="K365" s="96" t="s">
        <v>113185</v>
      </c>
      <c r="L365" s="91"/>
      <c r="M365" s="438" t="s">
        <v>113458</v>
      </c>
      <c r="N365" s="93"/>
      <c r="O365" s="93"/>
      <c r="P365" s="94"/>
      <c r="Q365" s="94"/>
      <c r="R365" s="118">
        <v>610274233.07000005</v>
      </c>
      <c r="S365" s="477"/>
      <c r="T365" s="118"/>
      <c r="U365" s="96"/>
      <c r="V365" s="141"/>
      <c r="W365" s="400"/>
    </row>
    <row r="366" spans="2:23" ht="90" x14ac:dyDescent="0.2">
      <c r="B366" s="88"/>
      <c r="C366" s="89"/>
      <c r="D366" s="89"/>
      <c r="E366" s="89"/>
      <c r="F366" s="89"/>
      <c r="G366" s="89"/>
      <c r="H366" s="89"/>
      <c r="I366" s="89"/>
      <c r="J366" s="89"/>
      <c r="K366" s="96" t="s">
        <v>113185</v>
      </c>
      <c r="L366" s="91"/>
      <c r="M366" s="438" t="s">
        <v>113459</v>
      </c>
      <c r="N366" s="93"/>
      <c r="O366" s="93"/>
      <c r="P366" s="94"/>
      <c r="Q366" s="94"/>
      <c r="R366" s="118">
        <v>50000000</v>
      </c>
      <c r="S366" s="477"/>
      <c r="T366" s="118"/>
      <c r="U366" s="96"/>
      <c r="V366" s="141"/>
      <c r="W366" s="400"/>
    </row>
    <row r="367" spans="2:23" ht="60" x14ac:dyDescent="0.2">
      <c r="B367" s="88"/>
      <c r="C367" s="89"/>
      <c r="D367" s="89"/>
      <c r="E367" s="89"/>
      <c r="F367" s="89"/>
      <c r="G367" s="89"/>
      <c r="H367" s="89"/>
      <c r="I367" s="89"/>
      <c r="J367" s="89"/>
      <c r="K367" s="96" t="s">
        <v>113185</v>
      </c>
      <c r="L367" s="91"/>
      <c r="M367" s="438" t="s">
        <v>113460</v>
      </c>
      <c r="N367" s="93"/>
      <c r="O367" s="93"/>
      <c r="P367" s="94"/>
      <c r="Q367" s="94"/>
      <c r="R367" s="118">
        <v>6143197712</v>
      </c>
      <c r="S367" s="477"/>
      <c r="T367" s="118"/>
      <c r="U367" s="96"/>
      <c r="V367" s="141"/>
      <c r="W367" s="400"/>
    </row>
    <row r="368" spans="2:23" ht="105" x14ac:dyDescent="0.2">
      <c r="B368" s="88"/>
      <c r="C368" s="89"/>
      <c r="D368" s="89"/>
      <c r="E368" s="89"/>
      <c r="F368" s="89"/>
      <c r="G368" s="89"/>
      <c r="H368" s="89"/>
      <c r="I368" s="89"/>
      <c r="J368" s="89"/>
      <c r="K368" s="96" t="s">
        <v>113185</v>
      </c>
      <c r="L368" s="91"/>
      <c r="M368" s="438" t="s">
        <v>113461</v>
      </c>
      <c r="N368" s="93"/>
      <c r="O368" s="93"/>
      <c r="P368" s="94"/>
      <c r="Q368" s="94"/>
      <c r="R368" s="118">
        <v>450000000</v>
      </c>
      <c r="S368" s="477"/>
      <c r="T368" s="118"/>
      <c r="U368" s="96"/>
      <c r="V368" s="141"/>
      <c r="W368" s="400"/>
    </row>
    <row r="369" spans="2:23" ht="60" x14ac:dyDescent="0.2">
      <c r="B369" s="88"/>
      <c r="C369" s="89"/>
      <c r="D369" s="89"/>
      <c r="E369" s="89"/>
      <c r="F369" s="89"/>
      <c r="G369" s="89"/>
      <c r="H369" s="89"/>
      <c r="I369" s="89"/>
      <c r="J369" s="89"/>
      <c r="K369" s="96" t="s">
        <v>113185</v>
      </c>
      <c r="L369" s="91"/>
      <c r="M369" s="438" t="s">
        <v>113462</v>
      </c>
      <c r="N369" s="93"/>
      <c r="O369" s="93"/>
      <c r="P369" s="94"/>
      <c r="Q369" s="94"/>
      <c r="R369" s="118">
        <v>4403013283</v>
      </c>
      <c r="S369" s="477"/>
      <c r="T369" s="118"/>
      <c r="U369" s="96"/>
      <c r="V369" s="141"/>
      <c r="W369" s="400"/>
    </row>
    <row r="370" spans="2:23" ht="90" x14ac:dyDescent="0.2">
      <c r="B370" s="88"/>
      <c r="C370" s="89"/>
      <c r="D370" s="89"/>
      <c r="E370" s="89"/>
      <c r="F370" s="89"/>
      <c r="G370" s="89"/>
      <c r="H370" s="89"/>
      <c r="I370" s="89"/>
      <c r="J370" s="89"/>
      <c r="K370" s="96" t="s">
        <v>113185</v>
      </c>
      <c r="L370" s="91"/>
      <c r="M370" s="438" t="s">
        <v>113463</v>
      </c>
      <c r="N370" s="93"/>
      <c r="O370" s="93"/>
      <c r="P370" s="94"/>
      <c r="Q370" s="94"/>
      <c r="R370" s="118" t="s">
        <v>113464</v>
      </c>
      <c r="S370" s="477"/>
      <c r="T370" s="118"/>
      <c r="U370" s="96"/>
      <c r="V370" s="141"/>
      <c r="W370" s="400"/>
    </row>
    <row r="371" spans="2:23" ht="45" x14ac:dyDescent="0.2">
      <c r="B371" s="88"/>
      <c r="C371" s="89"/>
      <c r="D371" s="89"/>
      <c r="E371" s="89"/>
      <c r="F371" s="89"/>
      <c r="G371" s="89"/>
      <c r="H371" s="89"/>
      <c r="I371" s="89"/>
      <c r="J371" s="89"/>
      <c r="K371" s="96" t="s">
        <v>113185</v>
      </c>
      <c r="L371" s="91"/>
      <c r="M371" s="438" t="s">
        <v>113465</v>
      </c>
      <c r="N371" s="93"/>
      <c r="O371" s="93"/>
      <c r="P371" s="94"/>
      <c r="Q371" s="94"/>
      <c r="R371" s="118">
        <v>3120000000</v>
      </c>
      <c r="S371" s="477"/>
      <c r="T371" s="118"/>
      <c r="U371" s="96"/>
      <c r="V371" s="141"/>
      <c r="W371" s="400"/>
    </row>
    <row r="372" spans="2:23" ht="75" x14ac:dyDescent="0.2">
      <c r="B372" s="88"/>
      <c r="C372" s="89"/>
      <c r="D372" s="89"/>
      <c r="E372" s="89"/>
      <c r="F372" s="89"/>
      <c r="G372" s="89"/>
      <c r="H372" s="89"/>
      <c r="I372" s="89"/>
      <c r="J372" s="89"/>
      <c r="K372" s="96" t="s">
        <v>113185</v>
      </c>
      <c r="L372" s="91"/>
      <c r="M372" s="438" t="s">
        <v>113466</v>
      </c>
      <c r="N372" s="93"/>
      <c r="O372" s="93"/>
      <c r="P372" s="94"/>
      <c r="Q372" s="94"/>
      <c r="R372" s="118">
        <v>330000000</v>
      </c>
      <c r="S372" s="477"/>
      <c r="T372" s="118"/>
      <c r="U372" s="96"/>
      <c r="V372" s="141"/>
      <c r="W372" s="400"/>
    </row>
    <row r="373" spans="2:23" ht="75" x14ac:dyDescent="0.2">
      <c r="B373" s="88"/>
      <c r="C373" s="89"/>
      <c r="D373" s="89"/>
      <c r="E373" s="89"/>
      <c r="F373" s="89"/>
      <c r="G373" s="89"/>
      <c r="H373" s="89"/>
      <c r="I373" s="89"/>
      <c r="J373" s="89"/>
      <c r="K373" s="96" t="s">
        <v>113185</v>
      </c>
      <c r="L373" s="91"/>
      <c r="M373" s="438" t="s">
        <v>113467</v>
      </c>
      <c r="N373" s="93"/>
      <c r="O373" s="93"/>
      <c r="P373" s="94"/>
      <c r="Q373" s="94"/>
      <c r="R373" s="118">
        <v>36900000</v>
      </c>
      <c r="S373" s="477"/>
      <c r="T373" s="118"/>
      <c r="U373" s="96"/>
      <c r="V373" s="141"/>
      <c r="W373" s="400"/>
    </row>
    <row r="374" spans="2:23" ht="75" x14ac:dyDescent="0.2">
      <c r="B374" s="88"/>
      <c r="C374" s="89"/>
      <c r="D374" s="89"/>
      <c r="E374" s="89"/>
      <c r="F374" s="89"/>
      <c r="G374" s="89"/>
      <c r="H374" s="89"/>
      <c r="I374" s="89"/>
      <c r="J374" s="89"/>
      <c r="K374" s="96" t="s">
        <v>113185</v>
      </c>
      <c r="L374" s="91"/>
      <c r="M374" s="438" t="s">
        <v>113468</v>
      </c>
      <c r="N374" s="93"/>
      <c r="O374" s="93"/>
      <c r="P374" s="94"/>
      <c r="Q374" s="94"/>
      <c r="R374" s="118">
        <v>41000000</v>
      </c>
      <c r="S374" s="477"/>
      <c r="T374" s="118"/>
      <c r="U374" s="96"/>
      <c r="V374" s="141"/>
      <c r="W374" s="400"/>
    </row>
    <row r="375" spans="2:23" ht="75" x14ac:dyDescent="0.2">
      <c r="B375" s="88"/>
      <c r="C375" s="89"/>
      <c r="D375" s="89"/>
      <c r="E375" s="89"/>
      <c r="F375" s="89"/>
      <c r="G375" s="89"/>
      <c r="H375" s="89"/>
      <c r="I375" s="89"/>
      <c r="J375" s="89"/>
      <c r="K375" s="96" t="s">
        <v>113185</v>
      </c>
      <c r="L375" s="91"/>
      <c r="M375" s="438" t="s">
        <v>113469</v>
      </c>
      <c r="N375" s="93"/>
      <c r="O375" s="93"/>
      <c r="P375" s="94"/>
      <c r="Q375" s="94"/>
      <c r="R375" s="118">
        <v>41000000</v>
      </c>
      <c r="S375" s="477"/>
      <c r="T375" s="118"/>
      <c r="U375" s="96"/>
      <c r="V375" s="141"/>
      <c r="W375" s="400"/>
    </row>
    <row r="376" spans="2:23" ht="75" x14ac:dyDescent="0.2">
      <c r="B376" s="88"/>
      <c r="C376" s="89"/>
      <c r="D376" s="89"/>
      <c r="E376" s="89"/>
      <c r="F376" s="89"/>
      <c r="G376" s="89"/>
      <c r="H376" s="89"/>
      <c r="I376" s="89"/>
      <c r="J376" s="89"/>
      <c r="K376" s="96" t="s">
        <v>113185</v>
      </c>
      <c r="L376" s="91"/>
      <c r="M376" s="438" t="s">
        <v>113470</v>
      </c>
      <c r="N376" s="93"/>
      <c r="O376" s="93"/>
      <c r="P376" s="94"/>
      <c r="Q376" s="94"/>
      <c r="R376" s="118">
        <v>41000000</v>
      </c>
      <c r="S376" s="477"/>
      <c r="T376" s="118"/>
      <c r="U376" s="96"/>
      <c r="V376" s="141"/>
      <c r="W376" s="400"/>
    </row>
    <row r="377" spans="2:23" ht="75" x14ac:dyDescent="0.2">
      <c r="B377" s="88"/>
      <c r="C377" s="89"/>
      <c r="D377" s="89"/>
      <c r="E377" s="89"/>
      <c r="F377" s="89"/>
      <c r="G377" s="89"/>
      <c r="H377" s="89"/>
      <c r="I377" s="89"/>
      <c r="J377" s="89"/>
      <c r="K377" s="96" t="s">
        <v>113185</v>
      </c>
      <c r="L377" s="91"/>
      <c r="M377" s="438" t="s">
        <v>113471</v>
      </c>
      <c r="N377" s="93"/>
      <c r="O377" s="93"/>
      <c r="P377" s="94"/>
      <c r="Q377" s="94"/>
      <c r="R377" s="118">
        <v>41000000</v>
      </c>
      <c r="S377" s="477"/>
      <c r="T377" s="118"/>
      <c r="U377" s="96"/>
      <c r="V377" s="141"/>
      <c r="W377" s="400"/>
    </row>
    <row r="378" spans="2:23" ht="75" x14ac:dyDescent="0.2">
      <c r="B378" s="88"/>
      <c r="C378" s="89"/>
      <c r="D378" s="89"/>
      <c r="E378" s="89"/>
      <c r="F378" s="89"/>
      <c r="G378" s="89"/>
      <c r="H378" s="89"/>
      <c r="I378" s="89"/>
      <c r="J378" s="89"/>
      <c r="K378" s="96" t="s">
        <v>113185</v>
      </c>
      <c r="L378" s="91"/>
      <c r="M378" s="438" t="s">
        <v>113471</v>
      </c>
      <c r="N378" s="93"/>
      <c r="O378" s="93"/>
      <c r="P378" s="94"/>
      <c r="Q378" s="94"/>
      <c r="R378" s="118">
        <v>41000000</v>
      </c>
      <c r="S378" s="477"/>
      <c r="T378" s="118"/>
      <c r="U378" s="96"/>
      <c r="V378" s="141"/>
      <c r="W378" s="400"/>
    </row>
    <row r="379" spans="2:23" ht="75" x14ac:dyDescent="0.2">
      <c r="B379" s="88"/>
      <c r="C379" s="89"/>
      <c r="D379" s="89"/>
      <c r="E379" s="89"/>
      <c r="F379" s="89"/>
      <c r="G379" s="89"/>
      <c r="H379" s="89"/>
      <c r="I379" s="89"/>
      <c r="J379" s="89"/>
      <c r="K379" s="96" t="s">
        <v>113185</v>
      </c>
      <c r="L379" s="91"/>
      <c r="M379" s="438" t="s">
        <v>113471</v>
      </c>
      <c r="N379" s="93"/>
      <c r="O379" s="93"/>
      <c r="P379" s="94"/>
      <c r="Q379" s="94"/>
      <c r="R379" s="118">
        <v>41000000</v>
      </c>
      <c r="S379" s="477"/>
      <c r="T379" s="118"/>
      <c r="U379" s="96"/>
      <c r="V379" s="141"/>
      <c r="W379" s="400"/>
    </row>
    <row r="380" spans="2:23" ht="60" x14ac:dyDescent="0.2">
      <c r="B380" s="88"/>
      <c r="C380" s="89"/>
      <c r="D380" s="89"/>
      <c r="E380" s="89"/>
      <c r="F380" s="89"/>
      <c r="G380" s="89"/>
      <c r="H380" s="89"/>
      <c r="I380" s="89"/>
      <c r="J380" s="89"/>
      <c r="K380" s="96" t="s">
        <v>113185</v>
      </c>
      <c r="L380" s="91"/>
      <c r="M380" s="438" t="s">
        <v>113472</v>
      </c>
      <c r="N380" s="93"/>
      <c r="O380" s="93"/>
      <c r="P380" s="94"/>
      <c r="Q380" s="94"/>
      <c r="R380" s="118">
        <v>41000000</v>
      </c>
      <c r="S380" s="477"/>
      <c r="T380" s="118"/>
      <c r="U380" s="96"/>
      <c r="V380" s="141"/>
      <c r="W380" s="400"/>
    </row>
    <row r="381" spans="2:23" ht="60" x14ac:dyDescent="0.2">
      <c r="B381" s="88"/>
      <c r="C381" s="89"/>
      <c r="D381" s="89"/>
      <c r="E381" s="89"/>
      <c r="F381" s="89"/>
      <c r="G381" s="89"/>
      <c r="H381" s="89"/>
      <c r="I381" s="89"/>
      <c r="J381" s="89"/>
      <c r="K381" s="96" t="s">
        <v>113185</v>
      </c>
      <c r="L381" s="91"/>
      <c r="M381" s="438" t="s">
        <v>113472</v>
      </c>
      <c r="N381" s="93"/>
      <c r="O381" s="93"/>
      <c r="P381" s="94"/>
      <c r="Q381" s="94"/>
      <c r="R381" s="118">
        <v>41000000</v>
      </c>
      <c r="S381" s="477"/>
      <c r="T381" s="118"/>
      <c r="U381" s="96"/>
      <c r="V381" s="141"/>
      <c r="W381" s="400"/>
    </row>
    <row r="382" spans="2:23" ht="75" x14ac:dyDescent="0.2">
      <c r="B382" s="88"/>
      <c r="C382" s="89"/>
      <c r="D382" s="89"/>
      <c r="E382" s="89"/>
      <c r="F382" s="89"/>
      <c r="G382" s="89"/>
      <c r="H382" s="89"/>
      <c r="I382" s="89"/>
      <c r="J382" s="89"/>
      <c r="K382" s="96" t="s">
        <v>113185</v>
      </c>
      <c r="L382" s="91"/>
      <c r="M382" s="438" t="s">
        <v>113473</v>
      </c>
      <c r="N382" s="93"/>
      <c r="O382" s="93"/>
      <c r="P382" s="94"/>
      <c r="Q382" s="94"/>
      <c r="R382" s="118">
        <v>8200000</v>
      </c>
      <c r="S382" s="477"/>
      <c r="T382" s="118"/>
      <c r="U382" s="96"/>
      <c r="V382" s="141"/>
      <c r="W382" s="400"/>
    </row>
    <row r="383" spans="2:23" ht="75" x14ac:dyDescent="0.2">
      <c r="B383" s="88"/>
      <c r="C383" s="89"/>
      <c r="D383" s="89"/>
      <c r="E383" s="89"/>
      <c r="F383" s="89"/>
      <c r="G383" s="89"/>
      <c r="H383" s="89"/>
      <c r="I383" s="89"/>
      <c r="J383" s="89"/>
      <c r="K383" s="96" t="s">
        <v>113185</v>
      </c>
      <c r="L383" s="91"/>
      <c r="M383" s="438" t="s">
        <v>113474</v>
      </c>
      <c r="N383" s="93"/>
      <c r="O383" s="93"/>
      <c r="P383" s="94"/>
      <c r="Q383" s="94"/>
      <c r="R383" s="118">
        <v>32000000</v>
      </c>
      <c r="S383" s="477"/>
      <c r="T383" s="118"/>
      <c r="U383" s="96"/>
      <c r="V383" s="141"/>
      <c r="W383" s="400"/>
    </row>
    <row r="384" spans="2:23" ht="75" x14ac:dyDescent="0.2">
      <c r="B384" s="88"/>
      <c r="C384" s="89"/>
      <c r="D384" s="89"/>
      <c r="E384" s="89"/>
      <c r="F384" s="89"/>
      <c r="G384" s="89"/>
      <c r="H384" s="89"/>
      <c r="I384" s="89"/>
      <c r="J384" s="89"/>
      <c r="K384" s="96" t="s">
        <v>113185</v>
      </c>
      <c r="L384" s="91"/>
      <c r="M384" s="438" t="s">
        <v>113475</v>
      </c>
      <c r="N384" s="93"/>
      <c r="O384" s="93"/>
      <c r="P384" s="94"/>
      <c r="Q384" s="94"/>
      <c r="R384" s="118">
        <v>32000000</v>
      </c>
      <c r="S384" s="477"/>
      <c r="T384" s="118"/>
      <c r="U384" s="96"/>
      <c r="V384" s="141"/>
      <c r="W384" s="400"/>
    </row>
    <row r="385" spans="2:23" ht="75" x14ac:dyDescent="0.2">
      <c r="B385" s="88"/>
      <c r="C385" s="89"/>
      <c r="D385" s="89"/>
      <c r="E385" s="89"/>
      <c r="F385" s="89"/>
      <c r="G385" s="89"/>
      <c r="H385" s="89"/>
      <c r="I385" s="89"/>
      <c r="J385" s="89"/>
      <c r="K385" s="96" t="s">
        <v>113185</v>
      </c>
      <c r="L385" s="91"/>
      <c r="M385" s="438" t="s">
        <v>113475</v>
      </c>
      <c r="N385" s="93"/>
      <c r="O385" s="93"/>
      <c r="P385" s="94"/>
      <c r="Q385" s="94"/>
      <c r="R385" s="118">
        <v>32000000</v>
      </c>
      <c r="S385" s="477"/>
      <c r="T385" s="118"/>
      <c r="U385" s="96"/>
      <c r="V385" s="141"/>
      <c r="W385" s="400"/>
    </row>
    <row r="386" spans="2:23" ht="60" x14ac:dyDescent="0.2">
      <c r="B386" s="88"/>
      <c r="C386" s="89"/>
      <c r="D386" s="89"/>
      <c r="E386" s="89"/>
      <c r="F386" s="89"/>
      <c r="G386" s="89"/>
      <c r="H386" s="89"/>
      <c r="I386" s="89"/>
      <c r="J386" s="89"/>
      <c r="K386" s="96" t="s">
        <v>113185</v>
      </c>
      <c r="L386" s="91"/>
      <c r="M386" s="438" t="s">
        <v>113476</v>
      </c>
      <c r="N386" s="93"/>
      <c r="O386" s="93"/>
      <c r="P386" s="94"/>
      <c r="Q386" s="94"/>
      <c r="R386" s="118">
        <v>32000000</v>
      </c>
      <c r="S386" s="477"/>
      <c r="T386" s="118"/>
      <c r="U386" s="96"/>
      <c r="V386" s="141"/>
      <c r="W386" s="400"/>
    </row>
    <row r="387" spans="2:23" ht="75" x14ac:dyDescent="0.2">
      <c r="B387" s="88"/>
      <c r="C387" s="89"/>
      <c r="D387" s="89"/>
      <c r="E387" s="89"/>
      <c r="F387" s="89"/>
      <c r="G387" s="89"/>
      <c r="H387" s="89"/>
      <c r="I387" s="89"/>
      <c r="J387" s="89"/>
      <c r="K387" s="96" t="s">
        <v>113185</v>
      </c>
      <c r="L387" s="91"/>
      <c r="M387" s="438" t="s">
        <v>113477</v>
      </c>
      <c r="N387" s="93"/>
      <c r="O387" s="93"/>
      <c r="P387" s="94"/>
      <c r="Q387" s="94"/>
      <c r="R387" s="118">
        <v>57000000</v>
      </c>
      <c r="S387" s="477"/>
      <c r="T387" s="118"/>
      <c r="U387" s="96"/>
      <c r="V387" s="141"/>
      <c r="W387" s="400"/>
    </row>
    <row r="388" spans="2:23" ht="75" x14ac:dyDescent="0.2">
      <c r="B388" s="88"/>
      <c r="C388" s="89"/>
      <c r="D388" s="89"/>
      <c r="E388" s="89"/>
      <c r="F388" s="89"/>
      <c r="G388" s="89"/>
      <c r="H388" s="89"/>
      <c r="I388" s="89"/>
      <c r="J388" s="89"/>
      <c r="K388" s="96" t="s">
        <v>113185</v>
      </c>
      <c r="L388" s="91"/>
      <c r="M388" s="438" t="s">
        <v>113478</v>
      </c>
      <c r="N388" s="93"/>
      <c r="O388" s="93"/>
      <c r="P388" s="94"/>
      <c r="Q388" s="94"/>
      <c r="R388" s="118">
        <v>57000000</v>
      </c>
      <c r="S388" s="477"/>
      <c r="T388" s="118"/>
      <c r="U388" s="96"/>
      <c r="V388" s="141"/>
      <c r="W388" s="400"/>
    </row>
    <row r="389" spans="2:23" ht="75" x14ac:dyDescent="0.2">
      <c r="B389" s="88"/>
      <c r="C389" s="89"/>
      <c r="D389" s="89"/>
      <c r="E389" s="89"/>
      <c r="F389" s="89"/>
      <c r="G389" s="89"/>
      <c r="H389" s="89"/>
      <c r="I389" s="89"/>
      <c r="J389" s="89"/>
      <c r="K389" s="96" t="s">
        <v>113185</v>
      </c>
      <c r="L389" s="91"/>
      <c r="M389" s="438" t="s">
        <v>113479</v>
      </c>
      <c r="N389" s="93"/>
      <c r="O389" s="93"/>
      <c r="P389" s="94"/>
      <c r="Q389" s="94"/>
      <c r="R389" s="118">
        <v>57000000</v>
      </c>
      <c r="S389" s="477"/>
      <c r="T389" s="118"/>
      <c r="U389" s="96"/>
      <c r="V389" s="141"/>
      <c r="W389" s="400"/>
    </row>
    <row r="390" spans="2:23" ht="75" x14ac:dyDescent="0.2">
      <c r="B390" s="88"/>
      <c r="C390" s="89"/>
      <c r="D390" s="89"/>
      <c r="E390" s="89"/>
      <c r="F390" s="89"/>
      <c r="G390" s="89"/>
      <c r="H390" s="89"/>
      <c r="I390" s="89"/>
      <c r="J390" s="89"/>
      <c r="K390" s="96" t="s">
        <v>113185</v>
      </c>
      <c r="L390" s="91"/>
      <c r="M390" s="438" t="s">
        <v>113479</v>
      </c>
      <c r="N390" s="93"/>
      <c r="O390" s="93"/>
      <c r="P390" s="94"/>
      <c r="Q390" s="94"/>
      <c r="R390" s="118">
        <v>28500000</v>
      </c>
      <c r="S390" s="477"/>
      <c r="T390" s="118"/>
      <c r="U390" s="96"/>
      <c r="V390" s="141"/>
      <c r="W390" s="400"/>
    </row>
    <row r="391" spans="2:23" ht="60" x14ac:dyDescent="0.2">
      <c r="B391" s="88"/>
      <c r="C391" s="89"/>
      <c r="D391" s="89"/>
      <c r="E391" s="89"/>
      <c r="F391" s="89"/>
      <c r="G391" s="89"/>
      <c r="H391" s="89"/>
      <c r="I391" s="89"/>
      <c r="J391" s="89"/>
      <c r="K391" s="96" t="s">
        <v>113185</v>
      </c>
      <c r="L391" s="91"/>
      <c r="M391" s="438" t="s">
        <v>113480</v>
      </c>
      <c r="N391" s="93"/>
      <c r="O391" s="93"/>
      <c r="P391" s="94"/>
      <c r="Q391" s="94"/>
      <c r="R391" s="118">
        <v>51300000</v>
      </c>
      <c r="S391" s="477"/>
      <c r="T391" s="118"/>
      <c r="U391" s="96"/>
      <c r="V391" s="141"/>
      <c r="W391" s="400"/>
    </row>
    <row r="392" spans="2:23" ht="30" x14ac:dyDescent="0.2">
      <c r="B392" s="88"/>
      <c r="C392" s="89"/>
      <c r="D392" s="89"/>
      <c r="E392" s="89"/>
      <c r="F392" s="89"/>
      <c r="G392" s="89"/>
      <c r="H392" s="89"/>
      <c r="I392" s="89"/>
      <c r="J392" s="89"/>
      <c r="K392" s="96" t="s">
        <v>113185</v>
      </c>
      <c r="L392" s="91"/>
      <c r="M392" s="439" t="s">
        <v>113481</v>
      </c>
      <c r="N392" s="93"/>
      <c r="O392" s="93"/>
      <c r="P392" s="94"/>
      <c r="Q392" s="94"/>
      <c r="R392" s="118">
        <v>35000000</v>
      </c>
      <c r="S392" s="477"/>
      <c r="T392" s="118"/>
      <c r="U392" s="96"/>
      <c r="V392" s="141"/>
      <c r="W392" s="400"/>
    </row>
    <row r="393" spans="2:23" x14ac:dyDescent="0.2">
      <c r="B393" s="88"/>
      <c r="C393" s="89"/>
      <c r="D393" s="89"/>
      <c r="E393" s="89"/>
      <c r="F393" s="89"/>
      <c r="G393" s="89"/>
      <c r="H393" s="89"/>
      <c r="I393" s="89"/>
      <c r="J393" s="89"/>
      <c r="K393" s="96" t="s">
        <v>113185</v>
      </c>
      <c r="L393" s="91"/>
      <c r="M393" s="439" t="s">
        <v>113482</v>
      </c>
      <c r="N393" s="93"/>
      <c r="O393" s="93"/>
      <c r="P393" s="94"/>
      <c r="Q393" s="94"/>
      <c r="R393" s="118">
        <v>45400000.159999996</v>
      </c>
      <c r="S393" s="477"/>
      <c r="T393" s="118"/>
      <c r="U393" s="96"/>
      <c r="V393" s="141"/>
      <c r="W393" s="400"/>
    </row>
    <row r="394" spans="2:23" x14ac:dyDescent="0.2">
      <c r="B394" s="88"/>
      <c r="C394" s="89"/>
      <c r="D394" s="89"/>
      <c r="E394" s="89"/>
      <c r="F394" s="89"/>
      <c r="G394" s="89"/>
      <c r="H394" s="89"/>
      <c r="I394" s="89"/>
      <c r="J394" s="89"/>
      <c r="K394" s="96" t="s">
        <v>113185</v>
      </c>
      <c r="L394" s="91"/>
      <c r="M394" s="92" t="s">
        <v>113483</v>
      </c>
      <c r="N394" s="93"/>
      <c r="O394" s="93"/>
      <c r="P394" s="94"/>
      <c r="Q394" s="94"/>
      <c r="R394" s="118">
        <v>350000000</v>
      </c>
      <c r="S394" s="477"/>
      <c r="T394" s="118"/>
      <c r="U394" s="96"/>
      <c r="V394" s="141"/>
      <c r="W394" s="400"/>
    </row>
    <row r="395" spans="2:23" x14ac:dyDescent="0.2">
      <c r="B395" s="88"/>
      <c r="C395" s="89"/>
      <c r="D395" s="89"/>
      <c r="E395" s="89"/>
      <c r="F395" s="89"/>
      <c r="G395" s="89"/>
      <c r="H395" s="89"/>
      <c r="I395" s="89"/>
      <c r="J395" s="89"/>
      <c r="K395" s="96" t="s">
        <v>113185</v>
      </c>
      <c r="L395" s="91"/>
      <c r="M395" s="92" t="s">
        <v>113032</v>
      </c>
      <c r="N395" s="93"/>
      <c r="O395" s="93"/>
      <c r="P395" s="94"/>
      <c r="Q395" s="94"/>
      <c r="R395" s="118">
        <v>52000000</v>
      </c>
      <c r="S395" s="477"/>
      <c r="T395" s="118"/>
      <c r="U395" s="96"/>
      <c r="V395" s="141"/>
      <c r="W395" s="400"/>
    </row>
    <row r="396" spans="2:23" ht="30" x14ac:dyDescent="0.2">
      <c r="B396" s="254" t="s">
        <v>113163</v>
      </c>
      <c r="C396" s="254">
        <v>1505</v>
      </c>
      <c r="D396" s="308" t="s">
        <v>113167</v>
      </c>
      <c r="E396" s="308" t="s">
        <v>105917</v>
      </c>
      <c r="F396" s="254"/>
      <c r="G396" s="254"/>
      <c r="H396" s="254"/>
      <c r="I396" s="254"/>
      <c r="J396" s="431"/>
      <c r="K396" s="254"/>
      <c r="L396" s="65"/>
      <c r="M396" s="306" t="s">
        <v>113225</v>
      </c>
      <c r="N396" s="67"/>
      <c r="O396" s="67" t="s">
        <v>112995</v>
      </c>
      <c r="P396" s="68"/>
      <c r="Q396" s="68"/>
      <c r="R396" s="286">
        <f>+R397</f>
        <v>17765000000</v>
      </c>
      <c r="S396" s="495">
        <f>S397</f>
        <v>17765000000</v>
      </c>
      <c r="T396" s="286">
        <v>21000000000</v>
      </c>
      <c r="U396" s="287"/>
      <c r="V396" s="287"/>
      <c r="W396" s="409"/>
    </row>
    <row r="397" spans="2:23" ht="15.75" x14ac:dyDescent="0.2">
      <c r="B397" s="289" t="s">
        <v>113163</v>
      </c>
      <c r="C397" s="289">
        <v>1505</v>
      </c>
      <c r="D397" s="289" t="s">
        <v>113167</v>
      </c>
      <c r="E397" s="289" t="s">
        <v>105917</v>
      </c>
      <c r="F397" s="289" t="s">
        <v>113226</v>
      </c>
      <c r="G397" s="289">
        <v>1505006</v>
      </c>
      <c r="H397" s="289"/>
      <c r="I397" s="289"/>
      <c r="J397" s="435"/>
      <c r="K397" s="289"/>
      <c r="L397" s="35"/>
      <c r="M397" s="36" t="s">
        <v>112994</v>
      </c>
      <c r="N397" s="290"/>
      <c r="O397" s="290" t="s">
        <v>112995</v>
      </c>
      <c r="P397" s="291"/>
      <c r="Q397" s="291"/>
      <c r="R397" s="39">
        <f>SUM(R398:R412)</f>
        <v>17765000000</v>
      </c>
      <c r="S397" s="466">
        <v>17765000000</v>
      </c>
      <c r="T397" s="39"/>
      <c r="U397" s="40"/>
      <c r="V397" s="40"/>
      <c r="W397" s="410"/>
    </row>
    <row r="398" spans="2:23" ht="60" x14ac:dyDescent="0.2">
      <c r="B398" s="88"/>
      <c r="C398" s="89"/>
      <c r="D398" s="89"/>
      <c r="E398" s="89"/>
      <c r="F398" s="89"/>
      <c r="G398" s="89"/>
      <c r="H398" s="89"/>
      <c r="I398" s="89"/>
      <c r="J398" s="89"/>
      <c r="K398" s="96" t="s">
        <v>113174</v>
      </c>
      <c r="L398" s="91"/>
      <c r="M398" s="439" t="s">
        <v>113484</v>
      </c>
      <c r="N398" s="118"/>
      <c r="O398" s="118"/>
      <c r="P398" s="118"/>
      <c r="Q398" s="118"/>
      <c r="R398" s="118">
        <v>6832400355</v>
      </c>
      <c r="S398" s="477"/>
      <c r="T398" s="118"/>
      <c r="U398" s="293"/>
      <c r="V398" s="294"/>
      <c r="W398" s="344"/>
    </row>
    <row r="399" spans="2:23" ht="90" x14ac:dyDescent="0.2">
      <c r="B399" s="88"/>
      <c r="C399" s="89"/>
      <c r="D399" s="89"/>
      <c r="E399" s="89"/>
      <c r="F399" s="89"/>
      <c r="G399" s="89"/>
      <c r="H399" s="89"/>
      <c r="I399" s="89"/>
      <c r="J399" s="89"/>
      <c r="K399" s="96" t="s">
        <v>113174</v>
      </c>
      <c r="L399" s="91"/>
      <c r="M399" s="439" t="s">
        <v>113485</v>
      </c>
      <c r="N399" s="118"/>
      <c r="O399" s="118"/>
      <c r="P399" s="118"/>
      <c r="Q399" s="118"/>
      <c r="R399" s="118">
        <v>466802046</v>
      </c>
      <c r="S399" s="477"/>
      <c r="T399" s="118"/>
      <c r="U399" s="293"/>
      <c r="V399" s="294"/>
      <c r="W399" s="344"/>
    </row>
    <row r="400" spans="2:23" ht="30" x14ac:dyDescent="0.2">
      <c r="B400" s="88"/>
      <c r="C400" s="89"/>
      <c r="D400" s="89"/>
      <c r="E400" s="89"/>
      <c r="F400" s="89"/>
      <c r="G400" s="89"/>
      <c r="H400" s="89"/>
      <c r="I400" s="89"/>
      <c r="J400" s="89"/>
      <c r="K400" s="96" t="s">
        <v>113174</v>
      </c>
      <c r="L400" s="91"/>
      <c r="M400" s="439" t="s">
        <v>113486</v>
      </c>
      <c r="N400" s="118"/>
      <c r="O400" s="118"/>
      <c r="P400" s="118"/>
      <c r="Q400" s="118"/>
      <c r="R400" s="118">
        <v>6000000000</v>
      </c>
      <c r="S400" s="477"/>
      <c r="T400" s="118"/>
      <c r="U400" s="293"/>
      <c r="V400" s="294"/>
      <c r="W400" s="344"/>
    </row>
    <row r="401" spans="2:23" ht="60" x14ac:dyDescent="0.2">
      <c r="B401" s="88"/>
      <c r="C401" s="89"/>
      <c r="D401" s="89"/>
      <c r="E401" s="89"/>
      <c r="F401" s="89"/>
      <c r="G401" s="89"/>
      <c r="H401" s="89"/>
      <c r="I401" s="89"/>
      <c r="J401" s="89"/>
      <c r="K401" s="96" t="s">
        <v>113174</v>
      </c>
      <c r="L401" s="91"/>
      <c r="M401" s="439" t="s">
        <v>113487</v>
      </c>
      <c r="N401" s="118"/>
      <c r="O401" s="118"/>
      <c r="P401" s="118"/>
      <c r="Q401" s="118"/>
      <c r="R401" s="118">
        <v>1100000000</v>
      </c>
      <c r="S401" s="477"/>
      <c r="T401" s="118"/>
      <c r="U401" s="293"/>
      <c r="V401" s="294"/>
      <c r="W401" s="344"/>
    </row>
    <row r="402" spans="2:23" ht="45" x14ac:dyDescent="0.2">
      <c r="B402" s="88"/>
      <c r="C402" s="89"/>
      <c r="D402" s="89"/>
      <c r="E402" s="89"/>
      <c r="F402" s="89"/>
      <c r="G402" s="89"/>
      <c r="H402" s="89"/>
      <c r="I402" s="89"/>
      <c r="J402" s="89"/>
      <c r="K402" s="96" t="s">
        <v>113174</v>
      </c>
      <c r="L402" s="91"/>
      <c r="M402" s="439" t="s">
        <v>113488</v>
      </c>
      <c r="N402" s="118"/>
      <c r="O402" s="118"/>
      <c r="P402" s="118"/>
      <c r="Q402" s="118"/>
      <c r="R402" s="118">
        <v>720000000</v>
      </c>
      <c r="S402" s="477"/>
      <c r="T402" s="118"/>
      <c r="U402" s="144"/>
      <c r="V402" s="144"/>
      <c r="W402" s="344"/>
    </row>
    <row r="403" spans="2:23" ht="75" x14ac:dyDescent="0.2">
      <c r="B403" s="88"/>
      <c r="C403" s="89"/>
      <c r="D403" s="89"/>
      <c r="E403" s="89"/>
      <c r="F403" s="89"/>
      <c r="G403" s="89"/>
      <c r="H403" s="89"/>
      <c r="I403" s="89"/>
      <c r="J403" s="89"/>
      <c r="K403" s="96" t="s">
        <v>113174</v>
      </c>
      <c r="L403" s="91"/>
      <c r="M403" s="439" t="s">
        <v>113489</v>
      </c>
      <c r="N403" s="118"/>
      <c r="O403" s="118"/>
      <c r="P403" s="118"/>
      <c r="Q403" s="118"/>
      <c r="R403" s="118">
        <v>80000000</v>
      </c>
      <c r="S403" s="477"/>
      <c r="T403" s="118"/>
      <c r="U403" s="144"/>
      <c r="V403" s="144"/>
      <c r="W403" s="344"/>
    </row>
    <row r="404" spans="2:23" ht="30" x14ac:dyDescent="0.2">
      <c r="B404" s="88"/>
      <c r="C404" s="89"/>
      <c r="D404" s="89"/>
      <c r="E404" s="89"/>
      <c r="F404" s="89"/>
      <c r="G404" s="89"/>
      <c r="H404" s="89"/>
      <c r="I404" s="89"/>
      <c r="J404" s="89"/>
      <c r="K404" s="96" t="s">
        <v>113174</v>
      </c>
      <c r="L404" s="91"/>
      <c r="M404" s="439" t="s">
        <v>113490</v>
      </c>
      <c r="N404" s="118"/>
      <c r="O404" s="118"/>
      <c r="P404" s="118"/>
      <c r="Q404" s="118"/>
      <c r="R404" s="118">
        <v>2000000000</v>
      </c>
      <c r="S404" s="477"/>
      <c r="T404" s="118"/>
      <c r="U404" s="144"/>
      <c r="V404" s="144"/>
      <c r="W404" s="344"/>
    </row>
    <row r="405" spans="2:23" ht="60" x14ac:dyDescent="0.2">
      <c r="B405" s="88"/>
      <c r="C405" s="89"/>
      <c r="D405" s="89"/>
      <c r="E405" s="89"/>
      <c r="F405" s="89"/>
      <c r="G405" s="89"/>
      <c r="H405" s="89"/>
      <c r="I405" s="89"/>
      <c r="J405" s="89"/>
      <c r="K405" s="96" t="s">
        <v>113174</v>
      </c>
      <c r="L405" s="91"/>
      <c r="M405" s="439" t="s">
        <v>113491</v>
      </c>
      <c r="N405" s="118"/>
      <c r="O405" s="118"/>
      <c r="P405" s="118"/>
      <c r="Q405" s="118"/>
      <c r="R405" s="118">
        <v>200000000</v>
      </c>
      <c r="S405" s="477"/>
      <c r="T405" s="118"/>
      <c r="U405" s="144"/>
      <c r="V405" s="144"/>
      <c r="W405" s="344"/>
    </row>
    <row r="406" spans="2:23" x14ac:dyDescent="0.2">
      <c r="B406" s="88"/>
      <c r="C406" s="89"/>
      <c r="D406" s="89"/>
      <c r="E406" s="89"/>
      <c r="F406" s="89"/>
      <c r="G406" s="89"/>
      <c r="H406" s="89"/>
      <c r="I406" s="89"/>
      <c r="J406" s="89"/>
      <c r="K406" s="96" t="s">
        <v>113174</v>
      </c>
      <c r="L406" s="91"/>
      <c r="M406" s="439" t="s">
        <v>113492</v>
      </c>
      <c r="N406" s="118"/>
      <c r="O406" s="118"/>
      <c r="P406" s="118"/>
      <c r="Q406" s="118"/>
      <c r="R406" s="118">
        <v>80000000</v>
      </c>
      <c r="S406" s="477"/>
      <c r="T406" s="118"/>
      <c r="U406" s="144"/>
      <c r="V406" s="144"/>
      <c r="W406" s="344"/>
    </row>
    <row r="407" spans="2:23" x14ac:dyDescent="0.2">
      <c r="B407" s="88"/>
      <c r="C407" s="89"/>
      <c r="D407" s="89"/>
      <c r="E407" s="89"/>
      <c r="F407" s="89"/>
      <c r="G407" s="89"/>
      <c r="H407" s="89"/>
      <c r="I407" s="89"/>
      <c r="J407" s="89"/>
      <c r="K407" s="96" t="s">
        <v>113174</v>
      </c>
      <c r="L407" s="91"/>
      <c r="M407" s="439" t="s">
        <v>113493</v>
      </c>
      <c r="N407" s="118"/>
      <c r="O407" s="118"/>
      <c r="P407" s="118"/>
      <c r="Q407" s="118"/>
      <c r="R407" s="118">
        <v>94000000</v>
      </c>
      <c r="S407" s="477"/>
      <c r="T407" s="118"/>
      <c r="U407" s="144"/>
      <c r="V407" s="144"/>
      <c r="W407" s="344"/>
    </row>
    <row r="408" spans="2:23" ht="45" x14ac:dyDescent="0.2">
      <c r="B408" s="88"/>
      <c r="C408" s="89"/>
      <c r="D408" s="89"/>
      <c r="E408" s="89"/>
      <c r="F408" s="89"/>
      <c r="G408" s="89"/>
      <c r="H408" s="89"/>
      <c r="I408" s="89"/>
      <c r="J408" s="89"/>
      <c r="K408" s="96" t="s">
        <v>113174</v>
      </c>
      <c r="L408" s="91"/>
      <c r="M408" s="439" t="s">
        <v>113494</v>
      </c>
      <c r="N408" s="118"/>
      <c r="O408" s="118"/>
      <c r="P408" s="118"/>
      <c r="Q408" s="118"/>
      <c r="R408" s="118">
        <v>65000000</v>
      </c>
      <c r="S408" s="477"/>
      <c r="T408" s="118"/>
      <c r="U408" s="144"/>
      <c r="V408" s="144"/>
      <c r="W408" s="344"/>
    </row>
    <row r="409" spans="2:23" ht="45" x14ac:dyDescent="0.2">
      <c r="B409" s="88"/>
      <c r="C409" s="89"/>
      <c r="D409" s="89"/>
      <c r="E409" s="89"/>
      <c r="F409" s="89"/>
      <c r="G409" s="89"/>
      <c r="H409" s="89"/>
      <c r="I409" s="89"/>
      <c r="J409" s="89"/>
      <c r="K409" s="96" t="s">
        <v>113174</v>
      </c>
      <c r="L409" s="91"/>
      <c r="M409" s="439" t="s">
        <v>113495</v>
      </c>
      <c r="N409" s="118"/>
      <c r="O409" s="118"/>
      <c r="P409" s="118"/>
      <c r="Q409" s="118"/>
      <c r="R409" s="118">
        <v>25000000</v>
      </c>
      <c r="S409" s="477"/>
      <c r="T409" s="118"/>
      <c r="U409" s="144"/>
      <c r="V409" s="144"/>
      <c r="W409" s="344"/>
    </row>
    <row r="410" spans="2:23" ht="30" x14ac:dyDescent="0.2">
      <c r="B410" s="88"/>
      <c r="C410" s="89"/>
      <c r="D410" s="89"/>
      <c r="E410" s="89"/>
      <c r="F410" s="89"/>
      <c r="G410" s="89"/>
      <c r="H410" s="89"/>
      <c r="I410" s="89"/>
      <c r="J410" s="89"/>
      <c r="K410" s="96" t="s">
        <v>113174</v>
      </c>
      <c r="L410" s="91"/>
      <c r="M410" s="439" t="s">
        <v>113481</v>
      </c>
      <c r="N410" s="118"/>
      <c r="O410" s="118"/>
      <c r="P410" s="118"/>
      <c r="Q410" s="118"/>
      <c r="R410" s="118">
        <v>20000000</v>
      </c>
      <c r="S410" s="477"/>
      <c r="T410" s="118"/>
      <c r="U410" s="144"/>
      <c r="V410" s="144"/>
      <c r="W410" s="344"/>
    </row>
    <row r="411" spans="2:23" x14ac:dyDescent="0.2">
      <c r="B411" s="88"/>
      <c r="C411" s="89"/>
      <c r="D411" s="89"/>
      <c r="E411" s="89"/>
      <c r="F411" s="89"/>
      <c r="G411" s="89"/>
      <c r="H411" s="89"/>
      <c r="I411" s="89"/>
      <c r="J411" s="89"/>
      <c r="K411" s="96" t="s">
        <v>113174</v>
      </c>
      <c r="L411" s="91"/>
      <c r="M411" s="439" t="s">
        <v>113482</v>
      </c>
      <c r="N411" s="118"/>
      <c r="O411" s="118"/>
      <c r="P411" s="118"/>
      <c r="Q411" s="118"/>
      <c r="R411" s="118">
        <v>31797599</v>
      </c>
      <c r="S411" s="477"/>
      <c r="T411" s="118"/>
      <c r="U411" s="144"/>
      <c r="V411" s="144"/>
      <c r="W411" s="344"/>
    </row>
    <row r="412" spans="2:23" ht="30" x14ac:dyDescent="0.2">
      <c r="B412" s="88"/>
      <c r="C412" s="89"/>
      <c r="D412" s="89"/>
      <c r="E412" s="89"/>
      <c r="F412" s="89"/>
      <c r="G412" s="89"/>
      <c r="H412" s="89"/>
      <c r="I412" s="89"/>
      <c r="J412" s="89"/>
      <c r="K412" s="96" t="s">
        <v>113174</v>
      </c>
      <c r="L412" s="91"/>
      <c r="M412" s="438" t="s">
        <v>113496</v>
      </c>
      <c r="N412" s="93"/>
      <c r="O412" s="93"/>
      <c r="P412" s="94"/>
      <c r="Q412" s="94"/>
      <c r="R412" s="118">
        <v>50000000</v>
      </c>
      <c r="S412" s="477"/>
      <c r="T412" s="118"/>
      <c r="U412" s="144"/>
      <c r="V412" s="144"/>
      <c r="W412" s="344"/>
    </row>
  </sheetData>
  <sheetProtection formatCells="0" formatColumns="0" formatRows="0" insertColumns="0" insertRows="0" insertHyperlinks="0" deleteColumns="0" deleteRows="0" sort="0" autoFilter="0" pivotTables="0"/>
  <autoFilter ref="B6:W412" xr:uid="{00000000-0009-0000-0000-000003000000}"/>
  <conditionalFormatting sqref="N42">
    <cfRule type="timePeriod" dxfId="9" priority="4" timePeriod="lastMonth">
      <formula>AND(MONTH(N42)=MONTH(EDATE(TODAY(),0-1)),YEAR(N42)=YEAR(EDATE(TODAY(),0-1)))</formula>
    </cfRule>
  </conditionalFormatting>
  <conditionalFormatting sqref="N45">
    <cfRule type="timePeriod" dxfId="8" priority="3" timePeriod="lastMonth">
      <formula>AND(MONTH(N45)=MONTH(EDATE(TODAY(),0-1)),YEAR(N45)=YEAR(EDATE(TODAY(),0-1)))</formula>
    </cfRule>
  </conditionalFormatting>
  <conditionalFormatting sqref="N67">
    <cfRule type="timePeriod" dxfId="7" priority="2" timePeriod="lastMonth">
      <formula>AND(MONTH(N67)=MONTH(EDATE(TODAY(),0-1)),YEAR(N67)=YEAR(EDATE(TODAY(),0-1)))</formula>
    </cfRule>
  </conditionalFormatting>
  <conditionalFormatting sqref="N95">
    <cfRule type="timePeriod" dxfId="6" priority="1" timePeriod="lastMonth">
      <formula>AND(MONTH(N95)=MONTH(EDATE(TODAY(),0-1)),YEAR(N95)=YEAR(EDATE(TODAY(),0-1)))</formula>
    </cfRule>
  </conditionalFormatting>
  <dataValidations count="2">
    <dataValidation type="list" allowBlank="1" showInputMessage="1" showErrorMessage="1" sqref="W253:W254 W330:W337 W21:W31 W117:W119 W124:W126 W33:W35 W37 W39 W340:W412 W43 W14:W17 W46:W48 W164 W82:W83 W190:W192 W169:W184 W228 W197:W199 W103:W108 W66 W68 W85:W87 W186:W188 W61 W221:W222 W259:W262 W58:W59 W74:W77 W79:W80 W90:W94 W218:W219 W225:W226 W240:W241 W244:W248 W300:W303 W296:W298 W96 W324:W327 W194:W195 W201 W205 W230:W235 W237:W238 W250:W251 W257 W270:W274 W159 W71:W72 W278 W284:W286 W288:W291 W293:W294 W312:W314 W317 W51:W54 W56 W63:W64 W98:W100 W110:W115 W166 W210:W215" xr:uid="{00000000-0002-0000-0300-000000000000}">
      <formula1>#REF!</formula1>
    </dataValidation>
    <dataValidation type="list" allowBlank="1" showInputMessage="1" showErrorMessage="1" sqref="W55 W57 W65 W101:W102 W116 W204" xr:uid="{00000000-0002-0000-0300-000001000000}">
      <formula1>#REF!</formula1>
    </dataValidation>
  </dataValidations>
  <pageMargins left="0.7" right="0.7" top="0.75" bottom="0.75" header="0.3" footer="0.3"/>
  <pageSetup scale="22"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2000000}">
          <x14:formula1>
            <xm:f>'\\172.23.131.133\Planeacion\4.Plan de adquisiciones\Plan de Adquisiciones 2024 - ICFE\[35_Plan Anual Adquisiciones 2024_35.xlsx]Hoja1'!#REF!</xm:f>
          </x14:formula1>
          <xm:sqref>W223 W109 W185 T160:T163 T127:T128 W127:W128 W95 T299 W299 W41:W42 W45 W67 W73 W78 W81 W160:W163 W220 W242 W249 W255:W256 W304:W308 W328 T167:T168 T148:T152 T209 W70</xm:sqref>
        </x14:dataValidation>
        <x14:dataValidation type="list" allowBlank="1" showInputMessage="1" showErrorMessage="1" xr:uid="{00000000-0002-0000-0300-000003000000}">
          <x14:formula1>
            <xm:f>'\\172.23.131.133\Planeacion\4.Plan de adquisiciones\Plan de Adquisiciones 2024 - ICFE\[Plan Anual Adquisiciones 2024_Seguimiento.xlsx]Hoja1'!#REF!</xm:f>
          </x14:formula1>
          <xm:sqref>W130 W18:W20 W84 W88:W89 W189 W200 T97 Y97 V97:W97 W167:W168 W135:W152 W209</xm:sqref>
        </x14:dataValidation>
        <x14:dataValidation type="list" allowBlank="1" showInputMessage="1" showErrorMessage="1" xr:uid="{00000000-0002-0000-0300-000004000000}">
          <x14:formula1>
            <xm:f>'\\172.23.131.133\Planeacion\4.Plan de adquisiciones\Plan de Adquisiciones 2025 - ICFE\Anteproyecto 2025\[Plan Anual Adquisiciones 2025.xlsx]Hoja1'!#REF!</xm:f>
          </x14:formula1>
          <xm:sqref>W131:W133 W153:W158 W120:W123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13"/>
  <sheetViews>
    <sheetView topLeftCell="H121" zoomScale="70" zoomScaleNormal="70" workbookViewId="0">
      <selection activeCell="M152" sqref="M152"/>
    </sheetView>
  </sheetViews>
  <sheetFormatPr baseColWidth="10" defaultColWidth="11.5703125" defaultRowHeight="15.75" outlineLevelCol="1" x14ac:dyDescent="0.25"/>
  <cols>
    <col min="1" max="1" width="4" style="14" hidden="1" customWidth="1"/>
    <col min="2" max="2" width="13.140625" style="20" customWidth="1"/>
    <col min="3" max="3" width="12.5703125" style="20" customWidth="1"/>
    <col min="4" max="4" width="13.140625" style="20" customWidth="1"/>
    <col min="5" max="5" width="11" style="20" customWidth="1"/>
    <col min="6" max="6" width="11.7109375" style="20" customWidth="1"/>
    <col min="7" max="7" width="12.42578125" style="20" customWidth="1"/>
    <col min="8" max="8" width="7.28515625" style="20" customWidth="1"/>
    <col min="9" max="9" width="10.7109375" style="20" customWidth="1"/>
    <col min="10" max="10" width="9.7109375" style="20" customWidth="1"/>
    <col min="11" max="11" width="22.140625" style="20" hidden="1" customWidth="1"/>
    <col min="12" max="12" width="16" style="20" customWidth="1"/>
    <col min="13" max="13" width="83" style="24" customWidth="1"/>
    <col min="14" max="14" width="19.5703125" style="301" customWidth="1" outlineLevel="1"/>
    <col min="15" max="15" width="22.5703125" style="16" customWidth="1" outlineLevel="1"/>
    <col min="16" max="16" width="22.140625" style="17" customWidth="1" outlineLevel="1"/>
    <col min="17" max="17" width="23.85546875" style="18" customWidth="1" outlineLevel="1"/>
    <col min="18" max="18" width="28.42578125" style="19" customWidth="1"/>
    <col min="19" max="19" width="21.42578125" style="14" customWidth="1"/>
    <col min="20" max="20" width="28.42578125" style="21" customWidth="1"/>
    <col min="21" max="21" width="17.28515625" bestFit="1" customWidth="1"/>
  </cols>
  <sheetData>
    <row r="1" spans="1:20" x14ac:dyDescent="0.25">
      <c r="B1" s="14"/>
      <c r="C1" s="14"/>
      <c r="D1" s="14"/>
      <c r="E1" s="14"/>
      <c r="F1" s="14"/>
      <c r="G1" s="14"/>
      <c r="H1" s="14"/>
      <c r="I1" s="14"/>
      <c r="J1" s="14"/>
      <c r="K1" s="14"/>
      <c r="L1" s="14"/>
      <c r="M1" s="14"/>
      <c r="N1" s="15"/>
    </row>
    <row r="2" spans="1:20" x14ac:dyDescent="0.25">
      <c r="B2" s="23" t="s">
        <v>113197</v>
      </c>
      <c r="C2" s="14"/>
      <c r="D2" s="14"/>
      <c r="E2" s="14"/>
      <c r="F2" s="14"/>
      <c r="G2" s="14"/>
      <c r="H2" s="14"/>
      <c r="I2" s="14"/>
      <c r="J2" s="14"/>
      <c r="K2" s="14"/>
      <c r="L2" s="14"/>
      <c r="M2" s="14"/>
      <c r="N2" s="15"/>
    </row>
    <row r="3" spans="1:20" x14ac:dyDescent="0.25">
      <c r="B3" s="23"/>
      <c r="C3" s="14"/>
      <c r="D3" s="14"/>
      <c r="E3" s="14"/>
      <c r="F3" s="14"/>
      <c r="G3" s="14"/>
      <c r="H3" s="14"/>
      <c r="I3" s="14"/>
      <c r="J3" s="14"/>
      <c r="K3" s="14"/>
      <c r="L3" s="14"/>
      <c r="M3" s="14"/>
      <c r="N3" s="15"/>
    </row>
    <row r="4" spans="1:20" x14ac:dyDescent="0.25">
      <c r="B4" s="23" t="s">
        <v>112984</v>
      </c>
      <c r="C4" s="14"/>
      <c r="D4" s="14"/>
      <c r="E4" s="14"/>
      <c r="F4" s="14"/>
      <c r="G4" s="14"/>
      <c r="H4" s="14"/>
      <c r="I4" s="14"/>
      <c r="J4" s="14"/>
      <c r="K4" s="14"/>
      <c r="L4" s="14"/>
      <c r="N4" s="15"/>
      <c r="S4" s="19"/>
    </row>
    <row r="5" spans="1:20" x14ac:dyDescent="0.25">
      <c r="B5" s="14"/>
      <c r="C5" s="14"/>
      <c r="D5" s="14"/>
      <c r="E5" s="14"/>
      <c r="F5" s="14"/>
      <c r="G5" s="14"/>
      <c r="H5" s="14"/>
      <c r="I5" s="14"/>
      <c r="J5" s="14"/>
      <c r="K5" s="14"/>
      <c r="L5" s="14"/>
      <c r="M5" s="14"/>
      <c r="N5" s="15"/>
    </row>
    <row r="6" spans="1:20" ht="45" x14ac:dyDescent="0.25">
      <c r="B6" s="329" t="s">
        <v>105498</v>
      </c>
      <c r="C6" s="329" t="s">
        <v>105499</v>
      </c>
      <c r="D6" s="329" t="s">
        <v>105500</v>
      </c>
      <c r="E6" s="329" t="s">
        <v>105501</v>
      </c>
      <c r="F6" s="329" t="s">
        <v>105502</v>
      </c>
      <c r="G6" s="329" t="s">
        <v>105503</v>
      </c>
      <c r="H6" s="329" t="s">
        <v>105504</v>
      </c>
      <c r="I6" s="329" t="s">
        <v>105505</v>
      </c>
      <c r="J6" s="329" t="s">
        <v>112985</v>
      </c>
      <c r="K6" s="330" t="s">
        <v>112986</v>
      </c>
      <c r="L6" s="27" t="s">
        <v>112987</v>
      </c>
      <c r="M6" s="28" t="s">
        <v>112988</v>
      </c>
      <c r="N6" s="28" t="s">
        <v>112989</v>
      </c>
      <c r="O6" s="29" t="s">
        <v>112990</v>
      </c>
      <c r="P6" s="28" t="s">
        <v>112991</v>
      </c>
      <c r="Q6" s="28" t="s">
        <v>112992</v>
      </c>
      <c r="R6" s="30" t="s">
        <v>113214</v>
      </c>
      <c r="S6" s="31" t="s">
        <v>113215</v>
      </c>
      <c r="T6" s="28" t="s">
        <v>112993</v>
      </c>
    </row>
    <row r="7" spans="1:20" x14ac:dyDescent="0.25">
      <c r="A7" s="311"/>
      <c r="B7" s="33" t="s">
        <v>105516</v>
      </c>
      <c r="C7" s="33" t="s">
        <v>105573</v>
      </c>
      <c r="D7" s="33"/>
      <c r="E7" s="33"/>
      <c r="F7" s="33"/>
      <c r="G7" s="33"/>
      <c r="H7" s="33"/>
      <c r="I7" s="33"/>
      <c r="J7" s="33"/>
      <c r="K7" s="34"/>
      <c r="L7" s="35"/>
      <c r="M7" s="331" t="s">
        <v>112994</v>
      </c>
      <c r="N7" s="37" t="s">
        <v>112995</v>
      </c>
      <c r="O7" s="37" t="s">
        <v>112995</v>
      </c>
      <c r="P7" s="38"/>
      <c r="Q7" s="38"/>
      <c r="R7" s="39">
        <f>+R8+R26</f>
        <v>8209000000</v>
      </c>
      <c r="S7" s="41"/>
      <c r="T7" s="42" t="s">
        <v>112995</v>
      </c>
    </row>
    <row r="8" spans="1:20" x14ac:dyDescent="0.25">
      <c r="A8" s="23"/>
      <c r="B8" s="43" t="s">
        <v>105516</v>
      </c>
      <c r="C8" s="43" t="s">
        <v>105573</v>
      </c>
      <c r="D8" s="43" t="s">
        <v>105520</v>
      </c>
      <c r="E8" s="43"/>
      <c r="F8" s="43"/>
      <c r="G8" s="43"/>
      <c r="H8" s="43"/>
      <c r="I8" s="43"/>
      <c r="J8" s="43"/>
      <c r="K8" s="44"/>
      <c r="L8" s="45"/>
      <c r="M8" s="332" t="s">
        <v>106083</v>
      </c>
      <c r="N8" s="47" t="s">
        <v>112995</v>
      </c>
      <c r="O8" s="47" t="s">
        <v>112995</v>
      </c>
      <c r="P8" s="48"/>
      <c r="Q8" s="48"/>
      <c r="R8" s="49">
        <f>+R9</f>
        <v>406370391.51999998</v>
      </c>
      <c r="S8" s="51"/>
      <c r="T8" s="52" t="s">
        <v>112995</v>
      </c>
    </row>
    <row r="9" spans="1:20" x14ac:dyDescent="0.25">
      <c r="B9" s="54" t="s">
        <v>105516</v>
      </c>
      <c r="C9" s="54" t="s">
        <v>105573</v>
      </c>
      <c r="D9" s="54" t="s">
        <v>105520</v>
      </c>
      <c r="E9" s="54" t="s">
        <v>105520</v>
      </c>
      <c r="F9" s="54"/>
      <c r="G9" s="54"/>
      <c r="H9" s="54"/>
      <c r="I9" s="54"/>
      <c r="J9" s="54"/>
      <c r="K9" s="55"/>
      <c r="L9" s="55"/>
      <c r="M9" s="333" t="s">
        <v>106085</v>
      </c>
      <c r="N9" s="57" t="s">
        <v>112995</v>
      </c>
      <c r="O9" s="57" t="s">
        <v>112995</v>
      </c>
      <c r="P9" s="58"/>
      <c r="Q9" s="58"/>
      <c r="R9" s="59">
        <f>+R10+R18</f>
        <v>406370391.51999998</v>
      </c>
      <c r="S9" s="61"/>
      <c r="T9" s="62"/>
    </row>
    <row r="10" spans="1:20" x14ac:dyDescent="0.25">
      <c r="B10" s="63" t="s">
        <v>105516</v>
      </c>
      <c r="C10" s="63" t="s">
        <v>105573</v>
      </c>
      <c r="D10" s="63" t="s">
        <v>105520</v>
      </c>
      <c r="E10" s="63" t="s">
        <v>105520</v>
      </c>
      <c r="F10" s="63" t="s">
        <v>105541</v>
      </c>
      <c r="G10" s="63"/>
      <c r="H10" s="63"/>
      <c r="I10" s="63"/>
      <c r="J10" s="63"/>
      <c r="K10" s="64"/>
      <c r="L10" s="65"/>
      <c r="M10" s="306" t="s">
        <v>106230</v>
      </c>
      <c r="N10" s="67" t="s">
        <v>112995</v>
      </c>
      <c r="O10" s="67" t="s">
        <v>112995</v>
      </c>
      <c r="P10" s="68"/>
      <c r="Q10" s="68"/>
      <c r="R10" s="69">
        <f>+R11+R15</f>
        <v>266670391.52000001</v>
      </c>
      <c r="S10" s="70"/>
      <c r="T10" s="71"/>
    </row>
    <row r="11" spans="1:20" x14ac:dyDescent="0.25">
      <c r="B11" s="334" t="s">
        <v>105516</v>
      </c>
      <c r="C11" s="334" t="s">
        <v>105573</v>
      </c>
      <c r="D11" s="334" t="s">
        <v>105520</v>
      </c>
      <c r="E11" s="334" t="s">
        <v>105520</v>
      </c>
      <c r="F11" s="334" t="s">
        <v>105541</v>
      </c>
      <c r="G11" s="334" t="s">
        <v>105541</v>
      </c>
      <c r="H11" s="72"/>
      <c r="I11" s="72"/>
      <c r="J11" s="72"/>
      <c r="K11" s="73"/>
      <c r="L11" s="73"/>
      <c r="M11" s="305" t="s">
        <v>106246</v>
      </c>
      <c r="N11" s="75" t="s">
        <v>112995</v>
      </c>
      <c r="O11" s="75" t="s">
        <v>112995</v>
      </c>
      <c r="P11" s="76"/>
      <c r="Q11" s="76"/>
      <c r="R11" s="77">
        <f>+R12</f>
        <v>119000000</v>
      </c>
      <c r="S11" s="78"/>
      <c r="T11" s="79"/>
    </row>
    <row r="12" spans="1:20" ht="27.75" customHeight="1" x14ac:dyDescent="0.25">
      <c r="B12" s="80" t="s">
        <v>105516</v>
      </c>
      <c r="C12" s="80" t="s">
        <v>105573</v>
      </c>
      <c r="D12" s="80" t="s">
        <v>105520</v>
      </c>
      <c r="E12" s="80" t="s">
        <v>105520</v>
      </c>
      <c r="F12" s="80" t="s">
        <v>105541</v>
      </c>
      <c r="G12" s="80" t="s">
        <v>105541</v>
      </c>
      <c r="H12" s="81" t="s">
        <v>105573</v>
      </c>
      <c r="I12" s="80"/>
      <c r="J12" s="80"/>
      <c r="K12" s="80"/>
      <c r="L12" s="80"/>
      <c r="M12" s="304" t="s">
        <v>106250</v>
      </c>
      <c r="N12" s="83" t="s">
        <v>112995</v>
      </c>
      <c r="O12" s="83" t="s">
        <v>112995</v>
      </c>
      <c r="P12" s="84"/>
      <c r="Q12" s="84"/>
      <c r="R12" s="85">
        <f>SUM(R13:R14)</f>
        <v>119000000</v>
      </c>
      <c r="S12" s="86"/>
      <c r="T12" s="87"/>
    </row>
    <row r="13" spans="1:20" ht="45" customHeight="1" x14ac:dyDescent="0.25">
      <c r="B13" s="88"/>
      <c r="C13" s="335"/>
      <c r="D13" s="335"/>
      <c r="E13" s="335"/>
      <c r="F13" s="335"/>
      <c r="G13" s="335"/>
      <c r="H13" s="335"/>
      <c r="I13" s="335"/>
      <c r="J13" s="90"/>
      <c r="K13" s="90" t="s">
        <v>106245</v>
      </c>
      <c r="L13" s="91" t="s">
        <v>112996</v>
      </c>
      <c r="M13" s="92" t="s">
        <v>113237</v>
      </c>
      <c r="N13" s="93">
        <v>45474</v>
      </c>
      <c r="O13" s="93" t="s">
        <v>112997</v>
      </c>
      <c r="P13" s="94" t="s">
        <v>113202</v>
      </c>
      <c r="Q13" s="94" t="s">
        <v>112999</v>
      </c>
      <c r="R13" s="99">
        <v>100000000</v>
      </c>
      <c r="S13" s="97"/>
      <c r="T13" s="98" t="s">
        <v>113000</v>
      </c>
    </row>
    <row r="14" spans="1:20" ht="42" customHeight="1" x14ac:dyDescent="0.25">
      <c r="B14" s="88"/>
      <c r="C14" s="335"/>
      <c r="D14" s="335"/>
      <c r="E14" s="335"/>
      <c r="F14" s="335"/>
      <c r="G14" s="335"/>
      <c r="H14" s="335"/>
      <c r="I14" s="335"/>
      <c r="J14" s="90"/>
      <c r="K14" s="90" t="s">
        <v>106245</v>
      </c>
      <c r="L14" s="91" t="s">
        <v>113336</v>
      </c>
      <c r="M14" s="100" t="s">
        <v>113239</v>
      </c>
      <c r="N14" s="93">
        <v>45474</v>
      </c>
      <c r="O14" s="93" t="s">
        <v>112997</v>
      </c>
      <c r="P14" s="94" t="s">
        <v>113155</v>
      </c>
      <c r="Q14" s="94" t="s">
        <v>113052</v>
      </c>
      <c r="R14" s="99">
        <f>35000000-16000000</f>
        <v>19000000</v>
      </c>
      <c r="S14" s="97"/>
      <c r="T14" s="98" t="s">
        <v>113003</v>
      </c>
    </row>
    <row r="15" spans="1:20" x14ac:dyDescent="0.25">
      <c r="B15" s="334" t="s">
        <v>105516</v>
      </c>
      <c r="C15" s="334" t="s">
        <v>105573</v>
      </c>
      <c r="D15" s="334" t="s">
        <v>105520</v>
      </c>
      <c r="E15" s="334" t="s">
        <v>105520</v>
      </c>
      <c r="F15" s="334" t="s">
        <v>105541</v>
      </c>
      <c r="G15" s="334" t="s">
        <v>105544</v>
      </c>
      <c r="H15" s="72"/>
      <c r="I15" s="72"/>
      <c r="J15" s="72"/>
      <c r="K15" s="73"/>
      <c r="L15" s="73"/>
      <c r="M15" s="305" t="s">
        <v>106264</v>
      </c>
      <c r="N15" s="75" t="s">
        <v>112995</v>
      </c>
      <c r="O15" s="75" t="s">
        <v>112995</v>
      </c>
      <c r="P15" s="76" t="s">
        <v>112995</v>
      </c>
      <c r="Q15" s="76"/>
      <c r="R15" s="77">
        <f>+R16</f>
        <v>147670391.52000001</v>
      </c>
      <c r="S15" s="78"/>
      <c r="T15" s="79"/>
    </row>
    <row r="16" spans="1:20" ht="36.75" customHeight="1" x14ac:dyDescent="0.25">
      <c r="B16" s="80" t="s">
        <v>105516</v>
      </c>
      <c r="C16" s="80" t="s">
        <v>105573</v>
      </c>
      <c r="D16" s="80" t="s">
        <v>105520</v>
      </c>
      <c r="E16" s="80" t="s">
        <v>105520</v>
      </c>
      <c r="F16" s="80" t="s">
        <v>105541</v>
      </c>
      <c r="G16" s="80" t="s">
        <v>105544</v>
      </c>
      <c r="H16" s="80" t="s">
        <v>105573</v>
      </c>
      <c r="I16" s="80"/>
      <c r="J16" s="80"/>
      <c r="K16" s="80"/>
      <c r="L16" s="80"/>
      <c r="M16" s="304" t="s">
        <v>106268</v>
      </c>
      <c r="N16" s="83" t="s">
        <v>112995</v>
      </c>
      <c r="O16" s="83" t="s">
        <v>112995</v>
      </c>
      <c r="P16" s="84" t="s">
        <v>112995</v>
      </c>
      <c r="Q16" s="84"/>
      <c r="R16" s="85">
        <f>+R17</f>
        <v>147670391.52000001</v>
      </c>
      <c r="S16" s="86"/>
      <c r="T16" s="101"/>
    </row>
    <row r="17" spans="1:20" ht="42.75" customHeight="1" x14ac:dyDescent="0.25">
      <c r="B17" s="88"/>
      <c r="C17" s="335"/>
      <c r="D17" s="335"/>
      <c r="E17" s="335"/>
      <c r="F17" s="335"/>
      <c r="G17" s="335"/>
      <c r="H17" s="335"/>
      <c r="I17" s="335"/>
      <c r="J17" s="90"/>
      <c r="K17" s="90" t="s">
        <v>106263</v>
      </c>
      <c r="L17" s="55">
        <v>43211500</v>
      </c>
      <c r="M17" s="102" t="s">
        <v>113337</v>
      </c>
      <c r="N17" s="93">
        <v>45536</v>
      </c>
      <c r="O17" s="93" t="s">
        <v>113078</v>
      </c>
      <c r="P17" s="94" t="s">
        <v>113007</v>
      </c>
      <c r="Q17" s="94" t="s">
        <v>113008</v>
      </c>
      <c r="R17" s="336">
        <f>100000000+40000000+7670391.52</f>
        <v>147670391.52000001</v>
      </c>
      <c r="S17" s="104"/>
      <c r="T17" s="98" t="s">
        <v>113003</v>
      </c>
    </row>
    <row r="18" spans="1:20" x14ac:dyDescent="0.25">
      <c r="B18" s="63" t="s">
        <v>105516</v>
      </c>
      <c r="C18" s="63" t="s">
        <v>105573</v>
      </c>
      <c r="D18" s="63" t="s">
        <v>105520</v>
      </c>
      <c r="E18" s="63" t="s">
        <v>105520</v>
      </c>
      <c r="F18" s="63" t="s">
        <v>105547</v>
      </c>
      <c r="G18" s="63"/>
      <c r="H18" s="63"/>
      <c r="I18" s="63"/>
      <c r="J18" s="63"/>
      <c r="K18" s="64"/>
      <c r="L18" s="65"/>
      <c r="M18" s="306" t="s">
        <v>106350</v>
      </c>
      <c r="N18" s="67"/>
      <c r="O18" s="67"/>
      <c r="P18" s="68"/>
      <c r="Q18" s="68"/>
      <c r="R18" s="69">
        <f>+R19</f>
        <v>139700000</v>
      </c>
      <c r="S18" s="70"/>
      <c r="T18" s="71"/>
    </row>
    <row r="19" spans="1:20" x14ac:dyDescent="0.25">
      <c r="B19" s="334" t="s">
        <v>105516</v>
      </c>
      <c r="C19" s="334" t="s">
        <v>105573</v>
      </c>
      <c r="D19" s="334" t="s">
        <v>105520</v>
      </c>
      <c r="E19" s="334" t="s">
        <v>105520</v>
      </c>
      <c r="F19" s="334" t="s">
        <v>105547</v>
      </c>
      <c r="G19" s="334" t="s">
        <v>105535</v>
      </c>
      <c r="H19" s="72"/>
      <c r="I19" s="72"/>
      <c r="J19" s="72"/>
      <c r="K19" s="73"/>
      <c r="L19" s="73"/>
      <c r="M19" s="305" t="s">
        <v>106388</v>
      </c>
      <c r="N19" s="75"/>
      <c r="O19" s="75"/>
      <c r="P19" s="76"/>
      <c r="Q19" s="76"/>
      <c r="R19" s="77">
        <f>+R20</f>
        <v>139700000</v>
      </c>
      <c r="S19" s="78"/>
      <c r="T19" s="79"/>
    </row>
    <row r="20" spans="1:20" x14ac:dyDescent="0.25">
      <c r="B20" s="80" t="s">
        <v>105516</v>
      </c>
      <c r="C20" s="80" t="s">
        <v>105573</v>
      </c>
      <c r="D20" s="80" t="s">
        <v>105520</v>
      </c>
      <c r="E20" s="80" t="s">
        <v>105520</v>
      </c>
      <c r="F20" s="80" t="s">
        <v>105547</v>
      </c>
      <c r="G20" s="80" t="s">
        <v>105535</v>
      </c>
      <c r="H20" s="80" t="s">
        <v>105675</v>
      </c>
      <c r="I20" s="80"/>
      <c r="J20" s="80"/>
      <c r="K20" s="80"/>
      <c r="L20" s="80"/>
      <c r="M20" s="304" t="s">
        <v>106404</v>
      </c>
      <c r="N20" s="83"/>
      <c r="O20" s="83"/>
      <c r="P20" s="84"/>
      <c r="Q20" s="84"/>
      <c r="R20" s="85">
        <f>+R21</f>
        <v>139700000</v>
      </c>
      <c r="S20" s="86"/>
      <c r="T20" s="101"/>
    </row>
    <row r="21" spans="1:20" x14ac:dyDescent="0.25">
      <c r="B21" s="80" t="s">
        <v>105516</v>
      </c>
      <c r="C21" s="80" t="s">
        <v>105573</v>
      </c>
      <c r="D21" s="80" t="s">
        <v>105520</v>
      </c>
      <c r="E21" s="80" t="s">
        <v>105520</v>
      </c>
      <c r="F21" s="80" t="s">
        <v>105547</v>
      </c>
      <c r="G21" s="80" t="s">
        <v>105535</v>
      </c>
      <c r="H21" s="80" t="s">
        <v>105675</v>
      </c>
      <c r="I21" s="80" t="s">
        <v>105576</v>
      </c>
      <c r="J21" s="80"/>
      <c r="K21" s="80"/>
      <c r="L21" s="80"/>
      <c r="M21" s="304" t="s">
        <v>106406</v>
      </c>
      <c r="N21" s="83"/>
      <c r="O21" s="83"/>
      <c r="P21" s="84"/>
      <c r="Q21" s="84"/>
      <c r="R21" s="85">
        <f>+R22</f>
        <v>139700000</v>
      </c>
      <c r="S21" s="86"/>
      <c r="T21" s="101"/>
    </row>
    <row r="22" spans="1:20" ht="15" customHeight="1" x14ac:dyDescent="0.25">
      <c r="B22" s="80" t="s">
        <v>105516</v>
      </c>
      <c r="C22" s="80" t="s">
        <v>105573</v>
      </c>
      <c r="D22" s="80" t="s">
        <v>105520</v>
      </c>
      <c r="E22" s="80" t="s">
        <v>105520</v>
      </c>
      <c r="F22" s="80" t="s">
        <v>105547</v>
      </c>
      <c r="G22" s="80" t="s">
        <v>105535</v>
      </c>
      <c r="H22" s="80" t="s">
        <v>105675</v>
      </c>
      <c r="I22" s="80" t="s">
        <v>105576</v>
      </c>
      <c r="J22" s="80" t="s">
        <v>105520</v>
      </c>
      <c r="K22" s="80"/>
      <c r="L22" s="80"/>
      <c r="M22" s="304" t="s">
        <v>106408</v>
      </c>
      <c r="N22" s="83"/>
      <c r="O22" s="83"/>
      <c r="P22" s="84"/>
      <c r="Q22" s="84"/>
      <c r="R22" s="85">
        <f>SUM(R23:R25)</f>
        <v>139700000</v>
      </c>
      <c r="S22" s="86"/>
      <c r="T22" s="101"/>
    </row>
    <row r="23" spans="1:20" ht="103.5" customHeight="1" x14ac:dyDescent="0.25">
      <c r="B23" s="88"/>
      <c r="C23" s="335"/>
      <c r="D23" s="335"/>
      <c r="E23" s="335"/>
      <c r="F23" s="335"/>
      <c r="G23" s="335"/>
      <c r="H23" s="335"/>
      <c r="I23" s="335"/>
      <c r="J23" s="90"/>
      <c r="K23" s="90" t="s">
        <v>106387</v>
      </c>
      <c r="L23" s="55">
        <v>43231500</v>
      </c>
      <c r="M23" s="92" t="s">
        <v>113338</v>
      </c>
      <c r="N23" s="93">
        <v>45496</v>
      </c>
      <c r="O23" s="93" t="s">
        <v>112997</v>
      </c>
      <c r="P23" s="94" t="s">
        <v>113155</v>
      </c>
      <c r="Q23" s="94" t="s">
        <v>113053</v>
      </c>
      <c r="R23" s="95">
        <f>79700000+60000000</f>
        <v>139700000</v>
      </c>
      <c r="S23" s="97"/>
      <c r="T23" s="98" t="s">
        <v>113003</v>
      </c>
    </row>
    <row r="24" spans="1:20" ht="43.5" customHeight="1" x14ac:dyDescent="0.25">
      <c r="B24" s="88"/>
      <c r="C24" s="335"/>
      <c r="D24" s="335"/>
      <c r="E24" s="335"/>
      <c r="F24" s="335"/>
      <c r="G24" s="335"/>
      <c r="H24" s="335"/>
      <c r="I24" s="335"/>
      <c r="J24" s="90"/>
      <c r="K24" s="90" t="s">
        <v>106387</v>
      </c>
      <c r="L24" s="55">
        <v>43231500</v>
      </c>
      <c r="M24" s="92" t="s">
        <v>113009</v>
      </c>
      <c r="N24" s="93">
        <v>45443</v>
      </c>
      <c r="O24" s="93" t="s">
        <v>113208</v>
      </c>
      <c r="P24" s="94" t="s">
        <v>113028</v>
      </c>
      <c r="Q24" s="94" t="s">
        <v>112999</v>
      </c>
      <c r="R24" s="95">
        <f>79700000-79700000</f>
        <v>0</v>
      </c>
      <c r="S24" s="97"/>
      <c r="T24" s="98" t="s">
        <v>113012</v>
      </c>
    </row>
    <row r="25" spans="1:20" ht="98.25" customHeight="1" x14ac:dyDescent="0.25">
      <c r="A25" s="337"/>
      <c r="B25" s="88"/>
      <c r="C25" s="335"/>
      <c r="D25" s="335"/>
      <c r="E25" s="335"/>
      <c r="F25" s="335"/>
      <c r="G25" s="335"/>
      <c r="H25" s="335"/>
      <c r="I25" s="335"/>
      <c r="J25" s="90"/>
      <c r="K25" s="90"/>
      <c r="L25" s="55">
        <v>43231500</v>
      </c>
      <c r="M25" s="92" t="s">
        <v>113339</v>
      </c>
      <c r="N25" s="93">
        <v>45474</v>
      </c>
      <c r="O25" s="93" t="s">
        <v>112997</v>
      </c>
      <c r="P25" s="94" t="s">
        <v>113155</v>
      </c>
      <c r="Q25" s="94" t="s">
        <v>112999</v>
      </c>
      <c r="R25" s="99">
        <f>60000000-60000000</f>
        <v>0</v>
      </c>
      <c r="S25" s="97"/>
      <c r="T25" s="98" t="s">
        <v>113097</v>
      </c>
    </row>
    <row r="26" spans="1:20" x14ac:dyDescent="0.25">
      <c r="A26" s="23"/>
      <c r="B26" s="43" t="s">
        <v>105516</v>
      </c>
      <c r="C26" s="43" t="s">
        <v>105573</v>
      </c>
      <c r="D26" s="43" t="s">
        <v>105573</v>
      </c>
      <c r="E26" s="43"/>
      <c r="F26" s="43"/>
      <c r="G26" s="43"/>
      <c r="H26" s="43"/>
      <c r="I26" s="43"/>
      <c r="J26" s="43"/>
      <c r="K26" s="44"/>
      <c r="L26" s="45"/>
      <c r="M26" s="332" t="s">
        <v>106435</v>
      </c>
      <c r="N26" s="47"/>
      <c r="O26" s="47"/>
      <c r="P26" s="48"/>
      <c r="Q26" s="48"/>
      <c r="R26" s="49">
        <f>+R27+R94</f>
        <v>7802629608.4799995</v>
      </c>
      <c r="S26" s="50"/>
      <c r="T26" s="52"/>
    </row>
    <row r="27" spans="1:20" x14ac:dyDescent="0.25">
      <c r="B27" s="54" t="s">
        <v>105516</v>
      </c>
      <c r="C27" s="54" t="s">
        <v>105573</v>
      </c>
      <c r="D27" s="54" t="s">
        <v>105573</v>
      </c>
      <c r="E27" s="54" t="s">
        <v>105520</v>
      </c>
      <c r="F27" s="54"/>
      <c r="G27" s="54"/>
      <c r="H27" s="54"/>
      <c r="I27" s="54"/>
      <c r="J27" s="54"/>
      <c r="K27" s="55"/>
      <c r="L27" s="55"/>
      <c r="M27" s="333" t="s">
        <v>106437</v>
      </c>
      <c r="N27" s="57"/>
      <c r="O27" s="57"/>
      <c r="P27" s="58"/>
      <c r="Q27" s="58"/>
      <c r="R27" s="59">
        <f>+R28+R32+R45+R72</f>
        <v>1130668108.48</v>
      </c>
      <c r="S27" s="60"/>
      <c r="T27" s="105"/>
    </row>
    <row r="28" spans="1:20" x14ac:dyDescent="0.25">
      <c r="B28" s="63" t="s">
        <v>105516</v>
      </c>
      <c r="C28" s="63" t="s">
        <v>105573</v>
      </c>
      <c r="D28" s="63" t="s">
        <v>105573</v>
      </c>
      <c r="E28" s="63" t="s">
        <v>105520</v>
      </c>
      <c r="F28" s="63" t="s">
        <v>106438</v>
      </c>
      <c r="G28" s="63"/>
      <c r="H28" s="63"/>
      <c r="I28" s="63"/>
      <c r="J28" s="63"/>
      <c r="K28" s="64"/>
      <c r="L28" s="65"/>
      <c r="M28" s="306" t="s">
        <v>106440</v>
      </c>
      <c r="N28" s="67"/>
      <c r="O28" s="67"/>
      <c r="P28" s="68"/>
      <c r="Q28" s="68"/>
      <c r="R28" s="69">
        <f>+R29</f>
        <v>5000000</v>
      </c>
      <c r="S28" s="70"/>
      <c r="T28" s="71"/>
    </row>
    <row r="29" spans="1:20" x14ac:dyDescent="0.25">
      <c r="B29" s="334" t="s">
        <v>105516</v>
      </c>
      <c r="C29" s="334" t="s">
        <v>105573</v>
      </c>
      <c r="D29" s="334" t="s">
        <v>105573</v>
      </c>
      <c r="E29" s="334" t="s">
        <v>105520</v>
      </c>
      <c r="F29" s="334" t="s">
        <v>106438</v>
      </c>
      <c r="G29" s="334" t="s">
        <v>105528</v>
      </c>
      <c r="H29" s="72"/>
      <c r="I29" s="72"/>
      <c r="J29" s="72"/>
      <c r="K29" s="73"/>
      <c r="L29" s="73"/>
      <c r="M29" s="305" t="s">
        <v>106442</v>
      </c>
      <c r="N29" s="75"/>
      <c r="O29" s="75"/>
      <c r="P29" s="76"/>
      <c r="Q29" s="76"/>
      <c r="R29" s="77">
        <f>+R30</f>
        <v>5000000</v>
      </c>
      <c r="S29" s="78"/>
      <c r="T29" s="79"/>
    </row>
    <row r="30" spans="1:20" x14ac:dyDescent="0.25">
      <c r="B30" s="338" t="s">
        <v>105516</v>
      </c>
      <c r="C30" s="338" t="s">
        <v>105573</v>
      </c>
      <c r="D30" s="338" t="s">
        <v>105573</v>
      </c>
      <c r="E30" s="338" t="s">
        <v>105520</v>
      </c>
      <c r="F30" s="338" t="s">
        <v>106438</v>
      </c>
      <c r="G30" s="338" t="s">
        <v>105528</v>
      </c>
      <c r="H30" s="338" t="s">
        <v>106100</v>
      </c>
      <c r="I30" s="338"/>
      <c r="J30" s="338"/>
      <c r="K30" s="339"/>
      <c r="L30" s="340"/>
      <c r="M30" s="303" t="s">
        <v>113217</v>
      </c>
      <c r="N30" s="110"/>
      <c r="O30" s="110"/>
      <c r="P30" s="111"/>
      <c r="Q30" s="111"/>
      <c r="R30" s="112">
        <f>+R31</f>
        <v>5000000</v>
      </c>
      <c r="S30" s="113"/>
      <c r="T30" s="101"/>
    </row>
    <row r="31" spans="1:20" ht="30" x14ac:dyDescent="0.25">
      <c r="B31" s="115"/>
      <c r="C31" s="116"/>
      <c r="D31" s="116"/>
      <c r="E31" s="116"/>
      <c r="F31" s="116"/>
      <c r="G31" s="116"/>
      <c r="H31" s="116"/>
      <c r="I31" s="116"/>
      <c r="J31" s="117"/>
      <c r="K31" s="90" t="s">
        <v>106441</v>
      </c>
      <c r="L31" s="91">
        <v>50201700</v>
      </c>
      <c r="M31" s="102" t="s">
        <v>113013</v>
      </c>
      <c r="N31" s="93">
        <v>45412</v>
      </c>
      <c r="O31" s="93" t="s">
        <v>113087</v>
      </c>
      <c r="P31" s="94" t="s">
        <v>113002</v>
      </c>
      <c r="Q31" s="94" t="s">
        <v>113008</v>
      </c>
      <c r="R31" s="95">
        <v>5000000</v>
      </c>
      <c r="S31" s="97"/>
      <c r="T31" s="98" t="s">
        <v>113012</v>
      </c>
    </row>
    <row r="32" spans="1:20" ht="30" x14ac:dyDescent="0.25">
      <c r="B32" s="63" t="s">
        <v>105516</v>
      </c>
      <c r="C32" s="63" t="s">
        <v>105573</v>
      </c>
      <c r="D32" s="63" t="s">
        <v>105573</v>
      </c>
      <c r="E32" s="63" t="s">
        <v>105520</v>
      </c>
      <c r="F32" s="63" t="s">
        <v>105535</v>
      </c>
      <c r="G32" s="63"/>
      <c r="H32" s="63"/>
      <c r="I32" s="63"/>
      <c r="J32" s="63"/>
      <c r="K32" s="64"/>
      <c r="L32" s="65"/>
      <c r="M32" s="306" t="s">
        <v>106527</v>
      </c>
      <c r="N32" s="67"/>
      <c r="O32" s="67"/>
      <c r="P32" s="68"/>
      <c r="Q32" s="68"/>
      <c r="R32" s="69">
        <f>+R33+R38+R42</f>
        <v>375575360</v>
      </c>
      <c r="S32" s="70"/>
      <c r="T32" s="71"/>
    </row>
    <row r="33" spans="2:20" ht="30" x14ac:dyDescent="0.25">
      <c r="B33" s="334" t="s">
        <v>105516</v>
      </c>
      <c r="C33" s="334" t="s">
        <v>105573</v>
      </c>
      <c r="D33" s="334" t="s">
        <v>105573</v>
      </c>
      <c r="E33" s="334" t="s">
        <v>105520</v>
      </c>
      <c r="F33" s="334" t="s">
        <v>105535</v>
      </c>
      <c r="G33" s="334" t="s">
        <v>105538</v>
      </c>
      <c r="H33" s="72"/>
      <c r="I33" s="72"/>
      <c r="J33" s="72"/>
      <c r="K33" s="73"/>
      <c r="L33" s="73"/>
      <c r="M33" s="305" t="s">
        <v>106547</v>
      </c>
      <c r="N33" s="75"/>
      <c r="O33" s="75"/>
      <c r="P33" s="76"/>
      <c r="Q33" s="76"/>
      <c r="R33" s="77">
        <f>+R34+R36</f>
        <v>18000000</v>
      </c>
      <c r="S33" s="78"/>
      <c r="T33" s="79"/>
    </row>
    <row r="34" spans="2:20" x14ac:dyDescent="0.25">
      <c r="B34" s="80" t="s">
        <v>105516</v>
      </c>
      <c r="C34" s="80" t="s">
        <v>105573</v>
      </c>
      <c r="D34" s="80" t="s">
        <v>105573</v>
      </c>
      <c r="E34" s="80" t="s">
        <v>105520</v>
      </c>
      <c r="F34" s="80" t="s">
        <v>105535</v>
      </c>
      <c r="G34" s="80" t="s">
        <v>105538</v>
      </c>
      <c r="H34" s="80" t="s">
        <v>105924</v>
      </c>
      <c r="I34" s="80"/>
      <c r="J34" s="80"/>
      <c r="K34" s="80"/>
      <c r="L34" s="80"/>
      <c r="M34" s="304" t="s">
        <v>113218</v>
      </c>
      <c r="N34" s="83"/>
      <c r="O34" s="83"/>
      <c r="P34" s="84"/>
      <c r="Q34" s="84"/>
      <c r="R34" s="85">
        <f>+R35</f>
        <v>9000000</v>
      </c>
      <c r="S34" s="86"/>
      <c r="T34" s="101"/>
    </row>
    <row r="35" spans="2:20" ht="30" x14ac:dyDescent="0.25">
      <c r="B35" s="88"/>
      <c r="C35" s="335"/>
      <c r="D35" s="335"/>
      <c r="E35" s="335"/>
      <c r="F35" s="335"/>
      <c r="G35" s="335"/>
      <c r="H35" s="335"/>
      <c r="I35" s="335"/>
      <c r="J35" s="90"/>
      <c r="K35" s="90" t="s">
        <v>106546</v>
      </c>
      <c r="L35" s="91">
        <v>50161500</v>
      </c>
      <c r="M35" s="102" t="s">
        <v>113014</v>
      </c>
      <c r="N35" s="93">
        <v>45412</v>
      </c>
      <c r="O35" s="93" t="s">
        <v>113087</v>
      </c>
      <c r="P35" s="94" t="s">
        <v>113002</v>
      </c>
      <c r="Q35" s="94" t="s">
        <v>113008</v>
      </c>
      <c r="R35" s="95">
        <v>9000000</v>
      </c>
      <c r="S35" s="97"/>
      <c r="T35" s="98" t="s">
        <v>113012</v>
      </c>
    </row>
    <row r="36" spans="2:20" x14ac:dyDescent="0.25">
      <c r="B36" s="80" t="s">
        <v>105516</v>
      </c>
      <c r="C36" s="80" t="s">
        <v>105573</v>
      </c>
      <c r="D36" s="80" t="s">
        <v>105573</v>
      </c>
      <c r="E36" s="80" t="s">
        <v>105520</v>
      </c>
      <c r="F36" s="80" t="s">
        <v>105535</v>
      </c>
      <c r="G36" s="80" t="s">
        <v>105538</v>
      </c>
      <c r="H36" s="80" t="s">
        <v>106106</v>
      </c>
      <c r="I36" s="80"/>
      <c r="J36" s="80"/>
      <c r="K36" s="80"/>
      <c r="L36" s="80"/>
      <c r="M36" s="304" t="s">
        <v>106563</v>
      </c>
      <c r="N36" s="83"/>
      <c r="O36" s="83"/>
      <c r="P36" s="84"/>
      <c r="Q36" s="84"/>
      <c r="R36" s="85">
        <f>+R37</f>
        <v>9000000</v>
      </c>
      <c r="S36" s="86"/>
      <c r="T36" s="101"/>
    </row>
    <row r="37" spans="2:20" ht="30" x14ac:dyDescent="0.25">
      <c r="B37" s="88"/>
      <c r="C37" s="335"/>
      <c r="D37" s="335"/>
      <c r="E37" s="335"/>
      <c r="F37" s="335"/>
      <c r="G37" s="335"/>
      <c r="H37" s="335"/>
      <c r="I37" s="335"/>
      <c r="J37" s="90"/>
      <c r="K37" s="90" t="s">
        <v>106546</v>
      </c>
      <c r="L37" s="55">
        <v>50161500</v>
      </c>
      <c r="M37" s="102" t="s">
        <v>113015</v>
      </c>
      <c r="N37" s="93">
        <v>45412</v>
      </c>
      <c r="O37" s="93" t="s">
        <v>113087</v>
      </c>
      <c r="P37" s="94" t="s">
        <v>113002</v>
      </c>
      <c r="Q37" s="94" t="s">
        <v>113008</v>
      </c>
      <c r="R37" s="95">
        <v>9000000</v>
      </c>
      <c r="S37" s="97"/>
      <c r="T37" s="98" t="s">
        <v>113012</v>
      </c>
    </row>
    <row r="38" spans="2:20" ht="15" customHeight="1" x14ac:dyDescent="0.25">
      <c r="B38" s="334" t="s">
        <v>105516</v>
      </c>
      <c r="C38" s="334" t="s">
        <v>105573</v>
      </c>
      <c r="D38" s="334" t="s">
        <v>105573</v>
      </c>
      <c r="E38" s="334" t="s">
        <v>105520</v>
      </c>
      <c r="F38" s="334" t="s">
        <v>105535</v>
      </c>
      <c r="G38" s="334" t="s">
        <v>105550</v>
      </c>
      <c r="H38" s="72"/>
      <c r="I38" s="72"/>
      <c r="J38" s="72"/>
      <c r="K38" s="73"/>
      <c r="L38" s="73"/>
      <c r="M38" s="305" t="s">
        <v>106581</v>
      </c>
      <c r="N38" s="75"/>
      <c r="O38" s="75"/>
      <c r="P38" s="76"/>
      <c r="Q38" s="76"/>
      <c r="R38" s="77">
        <f>SUM(R39:R41)</f>
        <v>57575360</v>
      </c>
      <c r="S38" s="78"/>
      <c r="T38" s="79"/>
    </row>
    <row r="39" spans="2:20" ht="30" x14ac:dyDescent="0.25">
      <c r="B39" s="88"/>
      <c r="C39" s="335"/>
      <c r="D39" s="335"/>
      <c r="E39" s="335"/>
      <c r="F39" s="335"/>
      <c r="G39" s="335"/>
      <c r="H39" s="335"/>
      <c r="I39" s="335"/>
      <c r="J39" s="90"/>
      <c r="K39" s="90" t="s">
        <v>106580</v>
      </c>
      <c r="L39" s="55">
        <v>14121500</v>
      </c>
      <c r="M39" s="102" t="s">
        <v>113016</v>
      </c>
      <c r="N39" s="93">
        <v>45412</v>
      </c>
      <c r="O39" s="93" t="s">
        <v>113087</v>
      </c>
      <c r="P39" s="94" t="s">
        <v>113002</v>
      </c>
      <c r="Q39" s="94" t="s">
        <v>113008</v>
      </c>
      <c r="R39" s="95">
        <v>800000</v>
      </c>
      <c r="S39" s="97"/>
      <c r="T39" s="98" t="s">
        <v>113012</v>
      </c>
    </row>
    <row r="40" spans="2:20" ht="60" x14ac:dyDescent="0.25">
      <c r="B40" s="88"/>
      <c r="C40" s="335"/>
      <c r="D40" s="335"/>
      <c r="E40" s="335"/>
      <c r="F40" s="335"/>
      <c r="G40" s="335"/>
      <c r="H40" s="335"/>
      <c r="I40" s="335"/>
      <c r="J40" s="90"/>
      <c r="K40" s="90"/>
      <c r="L40" s="91" t="s">
        <v>113340</v>
      </c>
      <c r="M40" s="102" t="s">
        <v>113341</v>
      </c>
      <c r="N40" s="93">
        <v>45536</v>
      </c>
      <c r="O40" s="93" t="s">
        <v>113078</v>
      </c>
      <c r="P40" s="94" t="s">
        <v>113045</v>
      </c>
      <c r="Q40" s="94" t="s">
        <v>113052</v>
      </c>
      <c r="R40" s="95">
        <f>9714000-2938640</f>
        <v>6775360</v>
      </c>
      <c r="S40" s="97"/>
      <c r="T40" s="98" t="s">
        <v>113019</v>
      </c>
    </row>
    <row r="41" spans="2:20" ht="54" customHeight="1" x14ac:dyDescent="0.25">
      <c r="B41" s="88"/>
      <c r="C41" s="335"/>
      <c r="D41" s="335"/>
      <c r="E41" s="335"/>
      <c r="F41" s="335"/>
      <c r="G41" s="335"/>
      <c r="H41" s="335"/>
      <c r="I41" s="335"/>
      <c r="J41" s="90"/>
      <c r="K41" s="90" t="s">
        <v>106580</v>
      </c>
      <c r="L41" s="91" t="s">
        <v>113241</v>
      </c>
      <c r="M41" s="102" t="s">
        <v>113017</v>
      </c>
      <c r="N41" s="93">
        <v>45474</v>
      </c>
      <c r="O41" s="93" t="s">
        <v>112997</v>
      </c>
      <c r="P41" s="94" t="s">
        <v>113155</v>
      </c>
      <c r="Q41" s="94" t="s">
        <v>112999</v>
      </c>
      <c r="R41" s="99">
        <v>50000000</v>
      </c>
      <c r="S41" s="97"/>
      <c r="T41" s="98" t="s">
        <v>113019</v>
      </c>
    </row>
    <row r="42" spans="2:20" x14ac:dyDescent="0.25">
      <c r="B42" s="334" t="s">
        <v>105516</v>
      </c>
      <c r="C42" s="334" t="s">
        <v>105573</v>
      </c>
      <c r="D42" s="334" t="s">
        <v>105573</v>
      </c>
      <c r="E42" s="334" t="s">
        <v>105520</v>
      </c>
      <c r="F42" s="334" t="s">
        <v>105535</v>
      </c>
      <c r="G42" s="334" t="s">
        <v>105553</v>
      </c>
      <c r="H42" s="72"/>
      <c r="I42" s="72"/>
      <c r="J42" s="72"/>
      <c r="K42" s="73"/>
      <c r="L42" s="73"/>
      <c r="M42" s="305" t="s">
        <v>106583</v>
      </c>
      <c r="N42" s="75"/>
      <c r="O42" s="75"/>
      <c r="P42" s="76"/>
      <c r="Q42" s="76"/>
      <c r="R42" s="77">
        <f>SUM(R43:R44)</f>
        <v>300000000</v>
      </c>
      <c r="S42" s="78"/>
      <c r="T42" s="79"/>
    </row>
    <row r="43" spans="2:20" ht="45" x14ac:dyDescent="0.25">
      <c r="B43" s="88"/>
      <c r="C43" s="335"/>
      <c r="D43" s="335"/>
      <c r="E43" s="335"/>
      <c r="F43" s="335"/>
      <c r="G43" s="335"/>
      <c r="H43" s="335"/>
      <c r="I43" s="335"/>
      <c r="J43" s="90"/>
      <c r="K43" s="90" t="s">
        <v>106582</v>
      </c>
      <c r="L43" s="91" t="s">
        <v>113020</v>
      </c>
      <c r="M43" s="102" t="s">
        <v>113021</v>
      </c>
      <c r="N43" s="93">
        <v>45488</v>
      </c>
      <c r="O43" s="93" t="s">
        <v>112997</v>
      </c>
      <c r="P43" s="94" t="s">
        <v>113155</v>
      </c>
      <c r="Q43" s="94" t="s">
        <v>113038</v>
      </c>
      <c r="R43" s="95">
        <v>100000000</v>
      </c>
      <c r="S43" s="97"/>
      <c r="T43" s="98" t="s">
        <v>113012</v>
      </c>
    </row>
    <row r="44" spans="2:20" ht="45" customHeight="1" x14ac:dyDescent="0.25">
      <c r="B44" s="88"/>
      <c r="C44" s="335"/>
      <c r="D44" s="335"/>
      <c r="E44" s="335"/>
      <c r="F44" s="335"/>
      <c r="G44" s="335"/>
      <c r="H44" s="335"/>
      <c r="I44" s="335"/>
      <c r="J44" s="90"/>
      <c r="K44" s="90" t="s">
        <v>106582</v>
      </c>
      <c r="L44" s="91" t="s">
        <v>113241</v>
      </c>
      <c r="M44" s="102" t="s">
        <v>113023</v>
      </c>
      <c r="N44" s="93">
        <v>45474</v>
      </c>
      <c r="O44" s="93" t="s">
        <v>112997</v>
      </c>
      <c r="P44" s="94" t="s">
        <v>113155</v>
      </c>
      <c r="Q44" s="94" t="s">
        <v>112999</v>
      </c>
      <c r="R44" s="99">
        <v>200000000</v>
      </c>
      <c r="S44" s="97"/>
      <c r="T44" s="98" t="s">
        <v>113019</v>
      </c>
    </row>
    <row r="45" spans="2:20" ht="30" x14ac:dyDescent="0.25">
      <c r="B45" s="63" t="s">
        <v>105516</v>
      </c>
      <c r="C45" s="63" t="s">
        <v>105573</v>
      </c>
      <c r="D45" s="63" t="s">
        <v>105573</v>
      </c>
      <c r="E45" s="63" t="s">
        <v>105520</v>
      </c>
      <c r="F45" s="63" t="s">
        <v>105538</v>
      </c>
      <c r="G45" s="63"/>
      <c r="H45" s="63"/>
      <c r="I45" s="63"/>
      <c r="J45" s="63"/>
      <c r="K45" s="64"/>
      <c r="L45" s="65"/>
      <c r="M45" s="306" t="s">
        <v>106589</v>
      </c>
      <c r="N45" s="67"/>
      <c r="O45" s="67"/>
      <c r="P45" s="68"/>
      <c r="Q45" s="68"/>
      <c r="R45" s="69">
        <f>+R46+R52+R57+R62+R69</f>
        <v>331800000</v>
      </c>
      <c r="S45" s="70"/>
      <c r="T45" s="71"/>
    </row>
    <row r="46" spans="2:20" ht="30" x14ac:dyDescent="0.25">
      <c r="B46" s="334" t="s">
        <v>105516</v>
      </c>
      <c r="C46" s="334" t="s">
        <v>105573</v>
      </c>
      <c r="D46" s="334" t="s">
        <v>105573</v>
      </c>
      <c r="E46" s="334" t="s">
        <v>105520</v>
      </c>
      <c r="F46" s="334" t="s">
        <v>105538</v>
      </c>
      <c r="G46" s="334" t="s">
        <v>105535</v>
      </c>
      <c r="H46" s="72"/>
      <c r="I46" s="72"/>
      <c r="J46" s="72"/>
      <c r="K46" s="73"/>
      <c r="L46" s="73"/>
      <c r="M46" s="305" t="s">
        <v>113232</v>
      </c>
      <c r="N46" s="75"/>
      <c r="O46" s="75"/>
      <c r="P46" s="76"/>
      <c r="Q46" s="76"/>
      <c r="R46" s="77">
        <f>+R47+R50</f>
        <v>67000000</v>
      </c>
      <c r="S46" s="78"/>
      <c r="T46" s="79"/>
    </row>
    <row r="47" spans="2:20" x14ac:dyDescent="0.25">
      <c r="B47" s="80" t="s">
        <v>105516</v>
      </c>
      <c r="C47" s="80" t="s">
        <v>105573</v>
      </c>
      <c r="D47" s="80" t="s">
        <v>105573</v>
      </c>
      <c r="E47" s="80" t="s">
        <v>105520</v>
      </c>
      <c r="F47" s="80" t="s">
        <v>105538</v>
      </c>
      <c r="G47" s="80" t="s">
        <v>105535</v>
      </c>
      <c r="H47" s="80" t="s">
        <v>105520</v>
      </c>
      <c r="I47" s="80"/>
      <c r="J47" s="80"/>
      <c r="K47" s="80"/>
      <c r="L47" s="80"/>
      <c r="M47" s="304" t="s">
        <v>106595</v>
      </c>
      <c r="N47" s="83"/>
      <c r="O47" s="83"/>
      <c r="P47" s="84"/>
      <c r="Q47" s="84"/>
      <c r="R47" s="85">
        <f>SUM(R48:R49)</f>
        <v>61500000</v>
      </c>
      <c r="S47" s="86"/>
      <c r="T47" s="101"/>
    </row>
    <row r="48" spans="2:20" ht="30" customHeight="1" x14ac:dyDescent="0.25">
      <c r="B48" s="88"/>
      <c r="C48" s="335"/>
      <c r="D48" s="335"/>
      <c r="E48" s="335"/>
      <c r="F48" s="335"/>
      <c r="G48" s="335"/>
      <c r="H48" s="335"/>
      <c r="I48" s="335"/>
      <c r="J48" s="90"/>
      <c r="K48" s="90" t="s">
        <v>106592</v>
      </c>
      <c r="L48" s="91" t="s">
        <v>113024</v>
      </c>
      <c r="M48" s="102" t="s">
        <v>113025</v>
      </c>
      <c r="N48" s="93">
        <v>45412</v>
      </c>
      <c r="O48" s="93" t="s">
        <v>113087</v>
      </c>
      <c r="P48" s="94" t="s">
        <v>113002</v>
      </c>
      <c r="Q48" s="94" t="s">
        <v>113008</v>
      </c>
      <c r="R48" s="95">
        <v>16500000</v>
      </c>
      <c r="S48" s="97"/>
      <c r="T48" s="98" t="s">
        <v>113012</v>
      </c>
    </row>
    <row r="49" spans="2:20" ht="45" customHeight="1" x14ac:dyDescent="0.25">
      <c r="B49" s="88"/>
      <c r="C49" s="335"/>
      <c r="D49" s="335"/>
      <c r="E49" s="335"/>
      <c r="F49" s="335"/>
      <c r="G49" s="335"/>
      <c r="H49" s="335"/>
      <c r="I49" s="335"/>
      <c r="J49" s="90"/>
      <c r="K49" s="90" t="s">
        <v>106592</v>
      </c>
      <c r="L49" s="91" t="s">
        <v>113026</v>
      </c>
      <c r="M49" s="92" t="s">
        <v>113027</v>
      </c>
      <c r="N49" s="93">
        <v>45381</v>
      </c>
      <c r="O49" s="93" t="s">
        <v>113006</v>
      </c>
      <c r="P49" s="94" t="s">
        <v>113028</v>
      </c>
      <c r="Q49" s="94" t="s">
        <v>113008</v>
      </c>
      <c r="R49" s="95">
        <v>45000000</v>
      </c>
      <c r="S49" s="97"/>
      <c r="T49" s="98" t="s">
        <v>113029</v>
      </c>
    </row>
    <row r="50" spans="2:20" ht="30" x14ac:dyDescent="0.25">
      <c r="B50" s="80" t="s">
        <v>105516</v>
      </c>
      <c r="C50" s="80" t="s">
        <v>105573</v>
      </c>
      <c r="D50" s="80" t="s">
        <v>105573</v>
      </c>
      <c r="E50" s="80" t="s">
        <v>105520</v>
      </c>
      <c r="F50" s="80" t="s">
        <v>105538</v>
      </c>
      <c r="G50" s="80" t="s">
        <v>105535</v>
      </c>
      <c r="H50" s="80" t="s">
        <v>105917</v>
      </c>
      <c r="I50" s="80"/>
      <c r="J50" s="80"/>
      <c r="K50" s="80"/>
      <c r="L50" s="80"/>
      <c r="M50" s="304" t="s">
        <v>106601</v>
      </c>
      <c r="N50" s="83"/>
      <c r="O50" s="83"/>
      <c r="P50" s="84"/>
      <c r="Q50" s="84"/>
      <c r="R50" s="85">
        <f>SUM(R51:R51)</f>
        <v>5500000</v>
      </c>
      <c r="S50" s="86"/>
      <c r="T50" s="101"/>
    </row>
    <row r="51" spans="2:20" ht="42" customHeight="1" x14ac:dyDescent="0.25">
      <c r="B51" s="88"/>
      <c r="C51" s="335"/>
      <c r="D51" s="335"/>
      <c r="E51" s="335"/>
      <c r="F51" s="335"/>
      <c r="G51" s="335"/>
      <c r="H51" s="335"/>
      <c r="I51" s="335"/>
      <c r="J51" s="90"/>
      <c r="K51" s="90" t="s">
        <v>106592</v>
      </c>
      <c r="L51" s="55"/>
      <c r="M51" s="92" t="s">
        <v>113030</v>
      </c>
      <c r="N51" s="93" t="s">
        <v>113031</v>
      </c>
      <c r="O51" s="93" t="s">
        <v>113031</v>
      </c>
      <c r="P51" s="93" t="s">
        <v>113031</v>
      </c>
      <c r="Q51" s="93" t="s">
        <v>113031</v>
      </c>
      <c r="R51" s="95">
        <v>5500000</v>
      </c>
      <c r="S51" s="97"/>
      <c r="T51" s="98" t="s">
        <v>113032</v>
      </c>
    </row>
    <row r="52" spans="2:20" ht="30" x14ac:dyDescent="0.25">
      <c r="B52" s="334" t="s">
        <v>105516</v>
      </c>
      <c r="C52" s="334" t="s">
        <v>105573</v>
      </c>
      <c r="D52" s="334" t="s">
        <v>105573</v>
      </c>
      <c r="E52" s="334" t="s">
        <v>105520</v>
      </c>
      <c r="F52" s="334" t="s">
        <v>105538</v>
      </c>
      <c r="G52" s="334" t="s">
        <v>105538</v>
      </c>
      <c r="H52" s="72"/>
      <c r="I52" s="72"/>
      <c r="J52" s="72"/>
      <c r="K52" s="73"/>
      <c r="L52" s="73"/>
      <c r="M52" s="305" t="s">
        <v>106611</v>
      </c>
      <c r="N52" s="75"/>
      <c r="O52" s="75"/>
      <c r="P52" s="76"/>
      <c r="Q52" s="76"/>
      <c r="R52" s="77">
        <f>+R53+R55</f>
        <v>50000000</v>
      </c>
      <c r="S52" s="78"/>
      <c r="T52" s="79"/>
    </row>
    <row r="53" spans="2:20" ht="60" x14ac:dyDescent="0.25">
      <c r="B53" s="80" t="s">
        <v>105516</v>
      </c>
      <c r="C53" s="80" t="s">
        <v>105573</v>
      </c>
      <c r="D53" s="80" t="s">
        <v>105573</v>
      </c>
      <c r="E53" s="80" t="s">
        <v>105520</v>
      </c>
      <c r="F53" s="80" t="s">
        <v>105538</v>
      </c>
      <c r="G53" s="80" t="s">
        <v>105538</v>
      </c>
      <c r="H53" s="80" t="s">
        <v>105675</v>
      </c>
      <c r="I53" s="80"/>
      <c r="J53" s="80"/>
      <c r="K53" s="80"/>
      <c r="L53" s="80"/>
      <c r="M53" s="304" t="s">
        <v>106617</v>
      </c>
      <c r="N53" s="83"/>
      <c r="O53" s="83"/>
      <c r="P53" s="84"/>
      <c r="Q53" s="84"/>
      <c r="R53" s="85">
        <f>+R54</f>
        <v>10000000</v>
      </c>
      <c r="S53" s="86"/>
      <c r="T53" s="101"/>
    </row>
    <row r="54" spans="2:20" ht="30" x14ac:dyDescent="0.25">
      <c r="B54" s="88"/>
      <c r="C54" s="335"/>
      <c r="D54" s="335"/>
      <c r="E54" s="335"/>
      <c r="F54" s="335"/>
      <c r="G54" s="335"/>
      <c r="H54" s="335"/>
      <c r="I54" s="335"/>
      <c r="J54" s="90"/>
      <c r="K54" s="90" t="s">
        <v>106610</v>
      </c>
      <c r="L54" s="55">
        <v>15121500</v>
      </c>
      <c r="M54" s="92" t="s">
        <v>113033</v>
      </c>
      <c r="N54" s="93">
        <v>45319</v>
      </c>
      <c r="O54" s="93" t="s">
        <v>113037</v>
      </c>
      <c r="P54" s="94" t="s">
        <v>113022</v>
      </c>
      <c r="Q54" s="94" t="s">
        <v>113034</v>
      </c>
      <c r="R54" s="95">
        <v>10000000</v>
      </c>
      <c r="S54" s="97"/>
      <c r="T54" s="98" t="s">
        <v>113035</v>
      </c>
    </row>
    <row r="55" spans="2:20" ht="30" x14ac:dyDescent="0.25">
      <c r="B55" s="80" t="s">
        <v>105516</v>
      </c>
      <c r="C55" s="80" t="s">
        <v>105573</v>
      </c>
      <c r="D55" s="80" t="s">
        <v>105573</v>
      </c>
      <c r="E55" s="80" t="s">
        <v>105520</v>
      </c>
      <c r="F55" s="80" t="s">
        <v>105538</v>
      </c>
      <c r="G55" s="80" t="s">
        <v>105538</v>
      </c>
      <c r="H55" s="80" t="s">
        <v>105917</v>
      </c>
      <c r="I55" s="80"/>
      <c r="J55" s="80"/>
      <c r="K55" s="80"/>
      <c r="L55" s="80"/>
      <c r="M55" s="304" t="s">
        <v>106619</v>
      </c>
      <c r="N55" s="83"/>
      <c r="O55" s="83"/>
      <c r="P55" s="84"/>
      <c r="Q55" s="84"/>
      <c r="R55" s="85">
        <f>+R56</f>
        <v>40000000</v>
      </c>
      <c r="S55" s="86"/>
      <c r="T55" s="101"/>
    </row>
    <row r="56" spans="2:20" ht="30" x14ac:dyDescent="0.25">
      <c r="B56" s="88"/>
      <c r="C56" s="335"/>
      <c r="D56" s="335"/>
      <c r="E56" s="335"/>
      <c r="F56" s="335"/>
      <c r="G56" s="335"/>
      <c r="H56" s="335"/>
      <c r="I56" s="335"/>
      <c r="J56" s="90"/>
      <c r="K56" s="90" t="s">
        <v>106610</v>
      </c>
      <c r="L56" s="55">
        <v>15121500</v>
      </c>
      <c r="M56" s="100" t="s">
        <v>113036</v>
      </c>
      <c r="N56" s="93">
        <v>45306</v>
      </c>
      <c r="O56" s="93" t="s">
        <v>113060</v>
      </c>
      <c r="P56" s="94" t="s">
        <v>113200</v>
      </c>
      <c r="Q56" s="94" t="s">
        <v>113038</v>
      </c>
      <c r="R56" s="95">
        <v>40000000</v>
      </c>
      <c r="S56" s="97"/>
      <c r="T56" s="98" t="s">
        <v>113035</v>
      </c>
    </row>
    <row r="57" spans="2:20" ht="30" x14ac:dyDescent="0.25">
      <c r="B57" s="334" t="s">
        <v>105516</v>
      </c>
      <c r="C57" s="334" t="s">
        <v>105573</v>
      </c>
      <c r="D57" s="334" t="s">
        <v>105573</v>
      </c>
      <c r="E57" s="334" t="s">
        <v>105520</v>
      </c>
      <c r="F57" s="334" t="s">
        <v>105538</v>
      </c>
      <c r="G57" s="334" t="s">
        <v>105544</v>
      </c>
      <c r="H57" s="72"/>
      <c r="I57" s="72"/>
      <c r="J57" s="72"/>
      <c r="K57" s="73"/>
      <c r="L57" s="73"/>
      <c r="M57" s="305" t="s">
        <v>106645</v>
      </c>
      <c r="N57" s="75"/>
      <c r="O57" s="75"/>
      <c r="P57" s="76"/>
      <c r="Q57" s="76"/>
      <c r="R57" s="77">
        <f>+R58+R60</f>
        <v>80000000</v>
      </c>
      <c r="S57" s="78"/>
      <c r="T57" s="79"/>
    </row>
    <row r="58" spans="2:20" ht="30" x14ac:dyDescent="0.25">
      <c r="B58" s="80" t="s">
        <v>105516</v>
      </c>
      <c r="C58" s="80" t="s">
        <v>105573</v>
      </c>
      <c r="D58" s="80" t="s">
        <v>105573</v>
      </c>
      <c r="E58" s="80" t="s">
        <v>105520</v>
      </c>
      <c r="F58" s="80" t="s">
        <v>105538</v>
      </c>
      <c r="G58" s="80" t="s">
        <v>105544</v>
      </c>
      <c r="H58" s="81" t="s">
        <v>105520</v>
      </c>
      <c r="I58" s="80"/>
      <c r="J58" s="80"/>
      <c r="K58" s="80"/>
      <c r="L58" s="80"/>
      <c r="M58" s="304" t="s">
        <v>106647</v>
      </c>
      <c r="N58" s="83"/>
      <c r="O58" s="83"/>
      <c r="P58" s="84"/>
      <c r="Q58" s="84"/>
      <c r="R58" s="85">
        <f>+R59</f>
        <v>65000000</v>
      </c>
      <c r="S58" s="86"/>
      <c r="T58" s="101"/>
    </row>
    <row r="59" spans="2:20" ht="37.5" customHeight="1" x14ac:dyDescent="0.25">
      <c r="B59" s="88"/>
      <c r="C59" s="335"/>
      <c r="D59" s="335"/>
      <c r="E59" s="335"/>
      <c r="F59" s="335"/>
      <c r="G59" s="335"/>
      <c r="H59" s="335"/>
      <c r="I59" s="335"/>
      <c r="J59" s="90"/>
      <c r="K59" s="90" t="s">
        <v>106644</v>
      </c>
      <c r="L59" s="91">
        <v>44103100</v>
      </c>
      <c r="M59" s="92" t="s">
        <v>113039</v>
      </c>
      <c r="N59" s="93">
        <v>45352</v>
      </c>
      <c r="O59" s="93" t="s">
        <v>113006</v>
      </c>
      <c r="P59" s="94" t="s">
        <v>113040</v>
      </c>
      <c r="Q59" s="94" t="s">
        <v>113242</v>
      </c>
      <c r="R59" s="95">
        <v>65000000</v>
      </c>
      <c r="S59" s="97"/>
      <c r="T59" s="98" t="s">
        <v>113003</v>
      </c>
    </row>
    <row r="60" spans="2:20" ht="30" x14ac:dyDescent="0.25">
      <c r="B60" s="80" t="s">
        <v>105516</v>
      </c>
      <c r="C60" s="80" t="s">
        <v>105573</v>
      </c>
      <c r="D60" s="80" t="s">
        <v>105573</v>
      </c>
      <c r="E60" s="80" t="s">
        <v>105520</v>
      </c>
      <c r="F60" s="80" t="s">
        <v>105538</v>
      </c>
      <c r="G60" s="80" t="s">
        <v>105544</v>
      </c>
      <c r="H60" s="80" t="s">
        <v>105675</v>
      </c>
      <c r="I60" s="80"/>
      <c r="J60" s="80"/>
      <c r="K60" s="80"/>
      <c r="L60" s="80"/>
      <c r="M60" s="304" t="s">
        <v>106651</v>
      </c>
      <c r="N60" s="83"/>
      <c r="O60" s="83"/>
      <c r="P60" s="84"/>
      <c r="Q60" s="84"/>
      <c r="R60" s="85">
        <f>+R61</f>
        <v>15000000</v>
      </c>
      <c r="S60" s="86"/>
      <c r="T60" s="101"/>
    </row>
    <row r="61" spans="2:20" ht="30" x14ac:dyDescent="0.25">
      <c r="B61" s="88"/>
      <c r="C61" s="335"/>
      <c r="D61" s="335"/>
      <c r="E61" s="335"/>
      <c r="F61" s="335"/>
      <c r="G61" s="335"/>
      <c r="H61" s="335"/>
      <c r="I61" s="335"/>
      <c r="J61" s="90"/>
      <c r="K61" s="90" t="s">
        <v>106644</v>
      </c>
      <c r="L61" s="91" t="s">
        <v>113042</v>
      </c>
      <c r="M61" s="92" t="s">
        <v>113043</v>
      </c>
      <c r="N61" s="93">
        <v>45412</v>
      </c>
      <c r="O61" s="93" t="s">
        <v>113087</v>
      </c>
      <c r="P61" s="94" t="s">
        <v>113040</v>
      </c>
      <c r="Q61" s="94" t="s">
        <v>113008</v>
      </c>
      <c r="R61" s="95">
        <v>15000000</v>
      </c>
      <c r="S61" s="97"/>
      <c r="T61" s="98" t="s">
        <v>113012</v>
      </c>
    </row>
    <row r="62" spans="2:20" x14ac:dyDescent="0.25">
      <c r="B62" s="334" t="s">
        <v>105516</v>
      </c>
      <c r="C62" s="334" t="s">
        <v>105573</v>
      </c>
      <c r="D62" s="334" t="s">
        <v>105573</v>
      </c>
      <c r="E62" s="334" t="s">
        <v>105520</v>
      </c>
      <c r="F62" s="334" t="s">
        <v>105538</v>
      </c>
      <c r="G62" s="334" t="s">
        <v>105547</v>
      </c>
      <c r="H62" s="72"/>
      <c r="I62" s="72"/>
      <c r="J62" s="72"/>
      <c r="K62" s="73"/>
      <c r="L62" s="73"/>
      <c r="M62" s="305" t="s">
        <v>106657</v>
      </c>
      <c r="N62" s="75"/>
      <c r="O62" s="75"/>
      <c r="P62" s="76"/>
      <c r="Q62" s="76"/>
      <c r="R62" s="77">
        <f>+R63+R65+R67</f>
        <v>105000000</v>
      </c>
      <c r="S62" s="78"/>
      <c r="T62" s="79"/>
    </row>
    <row r="63" spans="2:20" x14ac:dyDescent="0.25">
      <c r="B63" s="80" t="s">
        <v>105516</v>
      </c>
      <c r="C63" s="80" t="s">
        <v>105573</v>
      </c>
      <c r="D63" s="80" t="s">
        <v>105573</v>
      </c>
      <c r="E63" s="80" t="s">
        <v>105520</v>
      </c>
      <c r="F63" s="80" t="s">
        <v>105538</v>
      </c>
      <c r="G63" s="80" t="s">
        <v>105547</v>
      </c>
      <c r="H63" s="80" t="s">
        <v>105520</v>
      </c>
      <c r="I63" s="80"/>
      <c r="J63" s="80"/>
      <c r="K63" s="80"/>
      <c r="L63" s="80"/>
      <c r="M63" s="304" t="s">
        <v>106659</v>
      </c>
      <c r="N63" s="83"/>
      <c r="O63" s="83"/>
      <c r="P63" s="84"/>
      <c r="Q63" s="84"/>
      <c r="R63" s="85">
        <f>+R64</f>
        <v>10000000</v>
      </c>
      <c r="S63" s="86"/>
      <c r="T63" s="101"/>
    </row>
    <row r="64" spans="2:20" ht="30" x14ac:dyDescent="0.25">
      <c r="B64" s="88"/>
      <c r="C64" s="335"/>
      <c r="D64" s="335"/>
      <c r="E64" s="335"/>
      <c r="F64" s="335"/>
      <c r="G64" s="335"/>
      <c r="H64" s="335"/>
      <c r="I64" s="335"/>
      <c r="J64" s="90"/>
      <c r="K64" s="90" t="s">
        <v>106656</v>
      </c>
      <c r="L64" s="55">
        <v>25172500</v>
      </c>
      <c r="M64" s="92" t="s">
        <v>113044</v>
      </c>
      <c r="N64" s="93">
        <v>45337</v>
      </c>
      <c r="O64" s="93" t="s">
        <v>113001</v>
      </c>
      <c r="P64" s="94" t="s">
        <v>113201</v>
      </c>
      <c r="Q64" s="94" t="s">
        <v>113243</v>
      </c>
      <c r="R64" s="95">
        <v>10000000</v>
      </c>
      <c r="S64" s="97"/>
      <c r="T64" s="98" t="s">
        <v>113035</v>
      </c>
    </row>
    <row r="65" spans="1:20" x14ac:dyDescent="0.25">
      <c r="B65" s="80" t="s">
        <v>105516</v>
      </c>
      <c r="C65" s="80" t="s">
        <v>105573</v>
      </c>
      <c r="D65" s="80" t="s">
        <v>105573</v>
      </c>
      <c r="E65" s="80" t="s">
        <v>105520</v>
      </c>
      <c r="F65" s="80" t="s">
        <v>105538</v>
      </c>
      <c r="G65" s="80" t="s">
        <v>105547</v>
      </c>
      <c r="H65" s="80" t="s">
        <v>105573</v>
      </c>
      <c r="I65" s="80"/>
      <c r="J65" s="80"/>
      <c r="K65" s="80"/>
      <c r="L65" s="80"/>
      <c r="M65" s="304" t="s">
        <v>106661</v>
      </c>
      <c r="N65" s="83"/>
      <c r="O65" s="83"/>
      <c r="P65" s="84"/>
      <c r="Q65" s="84"/>
      <c r="R65" s="85">
        <f>+R66</f>
        <v>85000000</v>
      </c>
      <c r="S65" s="86"/>
      <c r="T65" s="101"/>
    </row>
    <row r="66" spans="1:20" ht="40.5" customHeight="1" x14ac:dyDescent="0.25">
      <c r="B66" s="88"/>
      <c r="C66" s="335"/>
      <c r="D66" s="335"/>
      <c r="E66" s="335"/>
      <c r="F66" s="335"/>
      <c r="G66" s="335"/>
      <c r="H66" s="335"/>
      <c r="I66" s="335"/>
      <c r="J66" s="90"/>
      <c r="K66" s="90" t="s">
        <v>106656</v>
      </c>
      <c r="L66" s="119" t="s">
        <v>113241</v>
      </c>
      <c r="M66" s="120" t="s">
        <v>113046</v>
      </c>
      <c r="N66" s="93">
        <v>45474</v>
      </c>
      <c r="O66" s="93" t="s">
        <v>112997</v>
      </c>
      <c r="P66" s="94" t="s">
        <v>113155</v>
      </c>
      <c r="Q66" s="94" t="s">
        <v>112999</v>
      </c>
      <c r="R66" s="99">
        <v>85000000</v>
      </c>
      <c r="S66" s="97"/>
      <c r="T66" s="98" t="s">
        <v>113019</v>
      </c>
    </row>
    <row r="67" spans="1:20" x14ac:dyDescent="0.25">
      <c r="B67" s="80" t="s">
        <v>105516</v>
      </c>
      <c r="C67" s="80" t="s">
        <v>105573</v>
      </c>
      <c r="D67" s="80" t="s">
        <v>105573</v>
      </c>
      <c r="E67" s="80" t="s">
        <v>105520</v>
      </c>
      <c r="F67" s="80" t="s">
        <v>105538</v>
      </c>
      <c r="G67" s="80" t="s">
        <v>105547</v>
      </c>
      <c r="H67" s="80" t="s">
        <v>106109</v>
      </c>
      <c r="I67" s="80"/>
      <c r="J67" s="80"/>
      <c r="K67" s="80"/>
      <c r="L67" s="341"/>
      <c r="M67" s="303" t="s">
        <v>106667</v>
      </c>
      <c r="N67" s="110"/>
      <c r="O67" s="110"/>
      <c r="P67" s="111"/>
      <c r="Q67" s="111"/>
      <c r="R67" s="112">
        <f>+R68</f>
        <v>10000000</v>
      </c>
      <c r="S67" s="113"/>
      <c r="T67" s="101"/>
    </row>
    <row r="68" spans="1:20" ht="75" customHeight="1" x14ac:dyDescent="0.25">
      <c r="B68" s="88"/>
      <c r="C68" s="335"/>
      <c r="D68" s="335"/>
      <c r="E68" s="335"/>
      <c r="F68" s="335"/>
      <c r="G68" s="335"/>
      <c r="H68" s="335"/>
      <c r="I68" s="335"/>
      <c r="J68" s="90"/>
      <c r="K68" s="90" t="s">
        <v>106656</v>
      </c>
      <c r="L68" s="91" t="s">
        <v>113047</v>
      </c>
      <c r="M68" s="92" t="s">
        <v>113048</v>
      </c>
      <c r="N68" s="93">
        <v>45412</v>
      </c>
      <c r="O68" s="93" t="s">
        <v>113087</v>
      </c>
      <c r="P68" s="94" t="s">
        <v>113002</v>
      </c>
      <c r="Q68" s="94" t="s">
        <v>113008</v>
      </c>
      <c r="R68" s="95">
        <v>10000000</v>
      </c>
      <c r="S68" s="97"/>
      <c r="T68" s="98" t="s">
        <v>113012</v>
      </c>
    </row>
    <row r="69" spans="1:20" x14ac:dyDescent="0.25">
      <c r="B69" s="334" t="s">
        <v>105516</v>
      </c>
      <c r="C69" s="334" t="s">
        <v>105573</v>
      </c>
      <c r="D69" s="334" t="s">
        <v>105573</v>
      </c>
      <c r="E69" s="334" t="s">
        <v>105520</v>
      </c>
      <c r="F69" s="334" t="s">
        <v>105538</v>
      </c>
      <c r="G69" s="334" t="s">
        <v>105553</v>
      </c>
      <c r="H69" s="72"/>
      <c r="I69" s="72"/>
      <c r="J69" s="72"/>
      <c r="K69" s="73"/>
      <c r="L69" s="73"/>
      <c r="M69" s="305" t="s">
        <v>106685</v>
      </c>
      <c r="N69" s="75"/>
      <c r="O69" s="75"/>
      <c r="P69" s="76"/>
      <c r="Q69" s="76"/>
      <c r="R69" s="77">
        <f>+R70</f>
        <v>29800000</v>
      </c>
      <c r="S69" s="78"/>
      <c r="T69" s="79"/>
    </row>
    <row r="70" spans="1:20" x14ac:dyDescent="0.25">
      <c r="B70" s="341" t="s">
        <v>105516</v>
      </c>
      <c r="C70" s="341" t="s">
        <v>105573</v>
      </c>
      <c r="D70" s="341" t="s">
        <v>105573</v>
      </c>
      <c r="E70" s="341" t="s">
        <v>105520</v>
      </c>
      <c r="F70" s="341" t="s">
        <v>105538</v>
      </c>
      <c r="G70" s="80" t="s">
        <v>105553</v>
      </c>
      <c r="H70" s="80" t="s">
        <v>106109</v>
      </c>
      <c r="I70" s="341"/>
      <c r="J70" s="341"/>
      <c r="K70" s="340"/>
      <c r="L70" s="340"/>
      <c r="M70" s="303" t="s">
        <v>106701</v>
      </c>
      <c r="N70" s="110"/>
      <c r="O70" s="110"/>
      <c r="P70" s="111"/>
      <c r="Q70" s="111"/>
      <c r="R70" s="112">
        <f>+R71</f>
        <v>29800000</v>
      </c>
      <c r="S70" s="113"/>
      <c r="T70" s="101"/>
    </row>
    <row r="71" spans="1:20" ht="15" customHeight="1" x14ac:dyDescent="0.25">
      <c r="A71" s="21"/>
      <c r="B71" s="88"/>
      <c r="C71" s="335"/>
      <c r="D71" s="335"/>
      <c r="E71" s="335"/>
      <c r="F71" s="335"/>
      <c r="G71" s="335"/>
      <c r="H71" s="335"/>
      <c r="I71" s="335"/>
      <c r="J71" s="90"/>
      <c r="K71" s="90" t="s">
        <v>106684</v>
      </c>
      <c r="L71" s="55"/>
      <c r="M71" s="92" t="s">
        <v>113049</v>
      </c>
      <c r="N71" s="93" t="s">
        <v>113031</v>
      </c>
      <c r="O71" s="93" t="s">
        <v>113031</v>
      </c>
      <c r="P71" s="93" t="s">
        <v>113031</v>
      </c>
      <c r="Q71" s="93" t="s">
        <v>113031</v>
      </c>
      <c r="R71" s="95">
        <v>29800000</v>
      </c>
      <c r="S71" s="98"/>
      <c r="T71" s="98" t="s">
        <v>113032</v>
      </c>
    </row>
    <row r="72" spans="1:20" x14ac:dyDescent="0.25">
      <c r="B72" s="63" t="s">
        <v>105516</v>
      </c>
      <c r="C72" s="63" t="s">
        <v>105573</v>
      </c>
      <c r="D72" s="63" t="s">
        <v>105573</v>
      </c>
      <c r="E72" s="63" t="s">
        <v>105520</v>
      </c>
      <c r="F72" s="63" t="s">
        <v>105541</v>
      </c>
      <c r="G72" s="63"/>
      <c r="H72" s="63"/>
      <c r="I72" s="63"/>
      <c r="J72" s="63"/>
      <c r="K72" s="64"/>
      <c r="L72" s="65"/>
      <c r="M72" s="306" t="s">
        <v>106705</v>
      </c>
      <c r="N72" s="67"/>
      <c r="O72" s="67"/>
      <c r="P72" s="68"/>
      <c r="Q72" s="68"/>
      <c r="R72" s="69">
        <f>+R75+R78+R81+R89+R73</f>
        <v>418292748.48000002</v>
      </c>
      <c r="S72" s="70"/>
      <c r="T72" s="71"/>
    </row>
    <row r="73" spans="1:20" ht="30" x14ac:dyDescent="0.25">
      <c r="B73" s="334" t="s">
        <v>105516</v>
      </c>
      <c r="C73" s="334" t="s">
        <v>105573</v>
      </c>
      <c r="D73" s="334" t="s">
        <v>105573</v>
      </c>
      <c r="E73" s="334" t="s">
        <v>105520</v>
      </c>
      <c r="F73" s="334" t="s">
        <v>105541</v>
      </c>
      <c r="G73" s="342" t="s">
        <v>105535</v>
      </c>
      <c r="H73" s="72"/>
      <c r="I73" s="72"/>
      <c r="J73" s="72"/>
      <c r="K73" s="73"/>
      <c r="L73" s="73"/>
      <c r="M73" s="305" t="s">
        <v>106709</v>
      </c>
      <c r="N73" s="75"/>
      <c r="O73" s="75"/>
      <c r="P73" s="76"/>
      <c r="Q73" s="76"/>
      <c r="R73" s="77">
        <f>R74</f>
        <v>20408075.170000002</v>
      </c>
      <c r="S73" s="78"/>
      <c r="T73" s="79"/>
    </row>
    <row r="74" spans="1:20" ht="60" x14ac:dyDescent="0.25">
      <c r="B74" s="88"/>
      <c r="C74" s="335"/>
      <c r="D74" s="335"/>
      <c r="E74" s="335"/>
      <c r="F74" s="335"/>
      <c r="G74" s="335"/>
      <c r="H74" s="335"/>
      <c r="I74" s="335"/>
      <c r="J74" s="90"/>
      <c r="K74" s="90" t="s">
        <v>106717</v>
      </c>
      <c r="L74" s="91" t="s">
        <v>113340</v>
      </c>
      <c r="M74" s="92" t="s">
        <v>113341</v>
      </c>
      <c r="N74" s="93">
        <v>45536</v>
      </c>
      <c r="O74" s="93" t="s">
        <v>113078</v>
      </c>
      <c r="P74" s="94" t="s">
        <v>113045</v>
      </c>
      <c r="Q74" s="94" t="s">
        <v>113052</v>
      </c>
      <c r="R74" s="95">
        <f>17469435.17+2938640</f>
        <v>20408075.170000002</v>
      </c>
      <c r="S74" s="97"/>
      <c r="T74" s="98" t="s">
        <v>113019</v>
      </c>
    </row>
    <row r="75" spans="1:20" x14ac:dyDescent="0.25">
      <c r="B75" s="334" t="s">
        <v>105516</v>
      </c>
      <c r="C75" s="334" t="s">
        <v>105573</v>
      </c>
      <c r="D75" s="334" t="s">
        <v>105573</v>
      </c>
      <c r="E75" s="334" t="s">
        <v>105520</v>
      </c>
      <c r="F75" s="334" t="s">
        <v>105541</v>
      </c>
      <c r="G75" s="334" t="s">
        <v>105541</v>
      </c>
      <c r="H75" s="72"/>
      <c r="I75" s="72"/>
      <c r="J75" s="72"/>
      <c r="K75" s="73"/>
      <c r="L75" s="73"/>
      <c r="M75" s="305" t="s">
        <v>106246</v>
      </c>
      <c r="N75" s="75"/>
      <c r="O75" s="75"/>
      <c r="P75" s="76"/>
      <c r="Q75" s="76"/>
      <c r="R75" s="77">
        <f>+R76</f>
        <v>65330564.829999998</v>
      </c>
      <c r="S75" s="78"/>
      <c r="T75" s="79"/>
    </row>
    <row r="76" spans="1:20" ht="29.25" customHeight="1" x14ac:dyDescent="0.25">
      <c r="B76" s="80" t="s">
        <v>105516</v>
      </c>
      <c r="C76" s="80" t="s">
        <v>105573</v>
      </c>
      <c r="D76" s="80" t="s">
        <v>105573</v>
      </c>
      <c r="E76" s="80" t="s">
        <v>105520</v>
      </c>
      <c r="F76" s="80" t="s">
        <v>105541</v>
      </c>
      <c r="G76" s="80" t="s">
        <v>105541</v>
      </c>
      <c r="H76" s="80" t="s">
        <v>106109</v>
      </c>
      <c r="I76" s="80"/>
      <c r="J76" s="80"/>
      <c r="K76" s="80"/>
      <c r="L76" s="80"/>
      <c r="M76" s="304" t="s">
        <v>106262</v>
      </c>
      <c r="N76" s="83"/>
      <c r="O76" s="83"/>
      <c r="P76" s="84"/>
      <c r="Q76" s="84"/>
      <c r="R76" s="85">
        <f>+R77</f>
        <v>65330564.829999998</v>
      </c>
      <c r="S76" s="86"/>
      <c r="T76" s="101"/>
    </row>
    <row r="77" spans="1:20" ht="45" x14ac:dyDescent="0.25">
      <c r="B77" s="88"/>
      <c r="C77" s="335"/>
      <c r="D77" s="335"/>
      <c r="E77" s="335"/>
      <c r="F77" s="335"/>
      <c r="G77" s="335"/>
      <c r="H77" s="335"/>
      <c r="I77" s="335"/>
      <c r="J77" s="90"/>
      <c r="K77" s="90" t="s">
        <v>106717</v>
      </c>
      <c r="L77" s="91" t="s">
        <v>113244</v>
      </c>
      <c r="M77" s="92" t="s">
        <v>113050</v>
      </c>
      <c r="N77" s="93">
        <v>45457</v>
      </c>
      <c r="O77" s="93" t="s">
        <v>113208</v>
      </c>
      <c r="P77" s="94" t="s">
        <v>113002</v>
      </c>
      <c r="Q77" s="94" t="s">
        <v>113038</v>
      </c>
      <c r="R77" s="95">
        <f>22800000+60000000-17469435.17</f>
        <v>65330564.829999998</v>
      </c>
      <c r="S77" s="97"/>
      <c r="T77" s="98" t="s">
        <v>113019</v>
      </c>
    </row>
    <row r="78" spans="1:20" x14ac:dyDescent="0.25">
      <c r="B78" s="334" t="s">
        <v>105516</v>
      </c>
      <c r="C78" s="334" t="s">
        <v>105573</v>
      </c>
      <c r="D78" s="334" t="s">
        <v>105573</v>
      </c>
      <c r="E78" s="334" t="s">
        <v>105520</v>
      </c>
      <c r="F78" s="334" t="s">
        <v>105541</v>
      </c>
      <c r="G78" s="334" t="s">
        <v>105544</v>
      </c>
      <c r="H78" s="72"/>
      <c r="I78" s="72"/>
      <c r="J78" s="72"/>
      <c r="K78" s="73"/>
      <c r="L78" s="73"/>
      <c r="M78" s="305" t="s">
        <v>106264</v>
      </c>
      <c r="N78" s="75"/>
      <c r="O78" s="75"/>
      <c r="P78" s="76"/>
      <c r="Q78" s="76"/>
      <c r="R78" s="77">
        <f>+R79</f>
        <v>4224500</v>
      </c>
      <c r="S78" s="78"/>
      <c r="T78" s="79"/>
    </row>
    <row r="79" spans="1:20" ht="30" x14ac:dyDescent="0.25">
      <c r="B79" s="80" t="s">
        <v>105516</v>
      </c>
      <c r="C79" s="80" t="s">
        <v>105573</v>
      </c>
      <c r="D79" s="80" t="s">
        <v>105573</v>
      </c>
      <c r="E79" s="80" t="s">
        <v>105520</v>
      </c>
      <c r="F79" s="80" t="s">
        <v>105541</v>
      </c>
      <c r="G79" s="80" t="s">
        <v>105544</v>
      </c>
      <c r="H79" s="80" t="s">
        <v>105520</v>
      </c>
      <c r="I79" s="80"/>
      <c r="J79" s="80"/>
      <c r="K79" s="80"/>
      <c r="L79" s="80"/>
      <c r="M79" s="304" t="s">
        <v>106266</v>
      </c>
      <c r="N79" s="83"/>
      <c r="O79" s="83"/>
      <c r="P79" s="84"/>
      <c r="Q79" s="84"/>
      <c r="R79" s="85">
        <f>SUM(R80:R80)</f>
        <v>4224500</v>
      </c>
      <c r="S79" s="86"/>
      <c r="T79" s="101"/>
    </row>
    <row r="80" spans="1:20" ht="30" x14ac:dyDescent="0.25">
      <c r="B80" s="88"/>
      <c r="C80" s="335"/>
      <c r="D80" s="335"/>
      <c r="E80" s="335"/>
      <c r="F80" s="335"/>
      <c r="G80" s="335"/>
      <c r="H80" s="335"/>
      <c r="I80" s="335"/>
      <c r="J80" s="90"/>
      <c r="K80" s="90" t="s">
        <v>106726</v>
      </c>
      <c r="L80" s="91">
        <v>43233200</v>
      </c>
      <c r="M80" s="92" t="s">
        <v>113051</v>
      </c>
      <c r="N80" s="93">
        <v>45300</v>
      </c>
      <c r="O80" s="93" t="s">
        <v>113037</v>
      </c>
      <c r="P80" s="94" t="s">
        <v>113040</v>
      </c>
      <c r="Q80" s="94" t="s">
        <v>113038</v>
      </c>
      <c r="R80" s="95">
        <f>4800000+2000000-2575500</f>
        <v>4224500</v>
      </c>
      <c r="S80" s="97"/>
      <c r="T80" s="98" t="s">
        <v>113003</v>
      </c>
    </row>
    <row r="81" spans="1:20" x14ac:dyDescent="0.25">
      <c r="B81" s="334" t="s">
        <v>105516</v>
      </c>
      <c r="C81" s="334" t="s">
        <v>105573</v>
      </c>
      <c r="D81" s="334" t="s">
        <v>105573</v>
      </c>
      <c r="E81" s="334" t="s">
        <v>105520</v>
      </c>
      <c r="F81" s="334" t="s">
        <v>105541</v>
      </c>
      <c r="G81" s="334" t="s">
        <v>105550</v>
      </c>
      <c r="H81" s="72"/>
      <c r="I81" s="72"/>
      <c r="J81" s="72"/>
      <c r="K81" s="73"/>
      <c r="L81" s="73"/>
      <c r="M81" s="305" t="s">
        <v>106284</v>
      </c>
      <c r="N81" s="75"/>
      <c r="O81" s="75"/>
      <c r="P81" s="76"/>
      <c r="Q81" s="76"/>
      <c r="R81" s="77">
        <f>+R82</f>
        <v>318329608.48000002</v>
      </c>
      <c r="S81" s="78"/>
      <c r="T81" s="79"/>
    </row>
    <row r="82" spans="1:20" x14ac:dyDescent="0.25">
      <c r="B82" s="80" t="s">
        <v>105516</v>
      </c>
      <c r="C82" s="80" t="s">
        <v>105573</v>
      </c>
      <c r="D82" s="80" t="s">
        <v>105573</v>
      </c>
      <c r="E82" s="80" t="s">
        <v>105520</v>
      </c>
      <c r="F82" s="80" t="s">
        <v>105541</v>
      </c>
      <c r="G82" s="80" t="s">
        <v>105550</v>
      </c>
      <c r="H82" s="80" t="s">
        <v>106106</v>
      </c>
      <c r="I82" s="80"/>
      <c r="J82" s="80"/>
      <c r="K82" s="80"/>
      <c r="L82" s="80"/>
      <c r="M82" s="304" t="s">
        <v>106408</v>
      </c>
      <c r="N82" s="83"/>
      <c r="O82" s="83"/>
      <c r="P82" s="84"/>
      <c r="Q82" s="84"/>
      <c r="R82" s="85">
        <f>SUM(R83:R88)</f>
        <v>318329608.48000002</v>
      </c>
      <c r="S82" s="86"/>
      <c r="T82" s="101"/>
    </row>
    <row r="83" spans="1:20" ht="30" x14ac:dyDescent="0.25">
      <c r="A83" s="343"/>
      <c r="B83" s="88"/>
      <c r="C83" s="335"/>
      <c r="D83" s="335"/>
      <c r="E83" s="335"/>
      <c r="F83" s="335"/>
      <c r="G83" s="335"/>
      <c r="H83" s="335"/>
      <c r="I83" s="335"/>
      <c r="J83" s="90"/>
      <c r="K83" s="90" t="s">
        <v>106736</v>
      </c>
      <c r="L83" s="91">
        <v>43233200</v>
      </c>
      <c r="M83" s="102" t="s">
        <v>113245</v>
      </c>
      <c r="N83" s="93">
        <v>45306</v>
      </c>
      <c r="O83" s="93" t="s">
        <v>113037</v>
      </c>
      <c r="P83" s="94" t="s">
        <v>113022</v>
      </c>
      <c r="Q83" s="94" t="s">
        <v>113053</v>
      </c>
      <c r="R83" s="95">
        <v>18000000</v>
      </c>
      <c r="S83" s="97"/>
      <c r="T83" s="98" t="s">
        <v>113054</v>
      </c>
    </row>
    <row r="84" spans="1:20" ht="45" x14ac:dyDescent="0.25">
      <c r="A84" s="343"/>
      <c r="B84" s="88"/>
      <c r="C84" s="335"/>
      <c r="D84" s="335"/>
      <c r="E84" s="335"/>
      <c r="F84" s="335"/>
      <c r="G84" s="335"/>
      <c r="H84" s="335"/>
      <c r="I84" s="335"/>
      <c r="J84" s="90"/>
      <c r="K84" s="90" t="s">
        <v>106736</v>
      </c>
      <c r="L84" s="91" t="s">
        <v>113342</v>
      </c>
      <c r="M84" s="92" t="s">
        <v>113343</v>
      </c>
      <c r="N84" s="93">
        <v>45580</v>
      </c>
      <c r="O84" s="93" t="s">
        <v>113070</v>
      </c>
      <c r="P84" s="94" t="s">
        <v>113045</v>
      </c>
      <c r="Q84" s="94" t="s">
        <v>112999</v>
      </c>
      <c r="R84" s="99">
        <v>35000000</v>
      </c>
      <c r="S84" s="97"/>
      <c r="T84" s="98" t="s">
        <v>113003</v>
      </c>
    </row>
    <row r="85" spans="1:20" ht="60" customHeight="1" x14ac:dyDescent="0.25">
      <c r="B85" s="88"/>
      <c r="C85" s="335"/>
      <c r="D85" s="335"/>
      <c r="E85" s="335"/>
      <c r="F85" s="335"/>
      <c r="G85" s="335"/>
      <c r="H85" s="335"/>
      <c r="I85" s="335"/>
      <c r="J85" s="90"/>
      <c r="K85" s="90" t="s">
        <v>106736</v>
      </c>
      <c r="L85" s="55">
        <v>43231500</v>
      </c>
      <c r="M85" s="92" t="s">
        <v>113344</v>
      </c>
      <c r="N85" s="93">
        <v>45481</v>
      </c>
      <c r="O85" s="93" t="s">
        <v>113010</v>
      </c>
      <c r="P85" s="94" t="s">
        <v>112998</v>
      </c>
      <c r="Q85" s="94" t="s">
        <v>112999</v>
      </c>
      <c r="R85" s="336">
        <f>50000000+2575500+9450000+3000000+2611012.17+7800000+1799695+32763792.83</f>
        <v>110000000</v>
      </c>
      <c r="S85" s="125"/>
      <c r="T85" s="98" t="s">
        <v>113003</v>
      </c>
    </row>
    <row r="86" spans="1:20" ht="30" x14ac:dyDescent="0.25">
      <c r="B86" s="88"/>
      <c r="C86" s="335"/>
      <c r="D86" s="335"/>
      <c r="E86" s="335"/>
      <c r="F86" s="335"/>
      <c r="G86" s="335"/>
      <c r="H86" s="335"/>
      <c r="I86" s="335"/>
      <c r="J86" s="90"/>
      <c r="K86" s="90"/>
      <c r="L86" s="55">
        <v>43231500</v>
      </c>
      <c r="M86" s="92" t="s">
        <v>113345</v>
      </c>
      <c r="N86" s="93"/>
      <c r="O86" s="93"/>
      <c r="P86" s="94"/>
      <c r="Q86" s="94" t="s">
        <v>113104</v>
      </c>
      <c r="R86" s="95">
        <f>22000000-18000000</f>
        <v>4000000</v>
      </c>
      <c r="S86" s="125"/>
      <c r="T86" s="98"/>
    </row>
    <row r="87" spans="1:20" ht="30" x14ac:dyDescent="0.25">
      <c r="B87" s="88"/>
      <c r="C87" s="335"/>
      <c r="D87" s="335"/>
      <c r="E87" s="335"/>
      <c r="F87" s="335"/>
      <c r="G87" s="335"/>
      <c r="H87" s="335"/>
      <c r="I87" s="335"/>
      <c r="J87" s="90"/>
      <c r="K87" s="90" t="s">
        <v>106736</v>
      </c>
      <c r="L87" s="55">
        <v>43231500</v>
      </c>
      <c r="M87" s="92" t="s">
        <v>113249</v>
      </c>
      <c r="N87" s="93">
        <v>45390</v>
      </c>
      <c r="O87" s="93" t="s">
        <v>113087</v>
      </c>
      <c r="P87" s="94" t="s">
        <v>112998</v>
      </c>
      <c r="Q87" s="94" t="s">
        <v>113053</v>
      </c>
      <c r="R87" s="95">
        <f>130000000-2000000-29000000+30000000</f>
        <v>129000000</v>
      </c>
      <c r="S87" s="97"/>
      <c r="T87" s="98" t="s">
        <v>113003</v>
      </c>
    </row>
    <row r="88" spans="1:20" ht="54.75" customHeight="1" x14ac:dyDescent="0.25">
      <c r="B88" s="88"/>
      <c r="C88" s="335"/>
      <c r="D88" s="335"/>
      <c r="E88" s="335"/>
      <c r="F88" s="335"/>
      <c r="G88" s="335"/>
      <c r="H88" s="335"/>
      <c r="I88" s="335"/>
      <c r="J88" s="90"/>
      <c r="K88" s="90" t="s">
        <v>106736</v>
      </c>
      <c r="L88" s="55">
        <v>43231500</v>
      </c>
      <c r="M88" s="92" t="s">
        <v>113346</v>
      </c>
      <c r="N88" s="93">
        <v>45474</v>
      </c>
      <c r="O88" s="93" t="s">
        <v>112997</v>
      </c>
      <c r="P88" s="94" t="s">
        <v>112998</v>
      </c>
      <c r="Q88" s="94" t="s">
        <v>113038</v>
      </c>
      <c r="R88" s="99">
        <f>30000000-7670391.52</f>
        <v>22329608.48</v>
      </c>
      <c r="S88" s="97"/>
      <c r="T88" s="98" t="s">
        <v>113003</v>
      </c>
    </row>
    <row r="89" spans="1:20" ht="30" x14ac:dyDescent="0.25">
      <c r="B89" s="334" t="s">
        <v>105516</v>
      </c>
      <c r="C89" s="334" t="s">
        <v>105573</v>
      </c>
      <c r="D89" s="334" t="s">
        <v>105573</v>
      </c>
      <c r="E89" s="334" t="s">
        <v>105520</v>
      </c>
      <c r="F89" s="334" t="s">
        <v>105541</v>
      </c>
      <c r="G89" s="334" t="s">
        <v>105553</v>
      </c>
      <c r="H89" s="72"/>
      <c r="I89" s="72"/>
      <c r="J89" s="72"/>
      <c r="K89" s="73"/>
      <c r="L89" s="73"/>
      <c r="M89" s="305" t="s">
        <v>106300</v>
      </c>
      <c r="N89" s="75"/>
      <c r="O89" s="75"/>
      <c r="P89" s="76"/>
      <c r="Q89" s="76"/>
      <c r="R89" s="77">
        <f>+R90+R92</f>
        <v>10000000</v>
      </c>
      <c r="S89" s="78"/>
      <c r="T89" s="79"/>
    </row>
    <row r="90" spans="1:20" ht="69.75" customHeight="1" x14ac:dyDescent="0.25">
      <c r="B90" s="80" t="s">
        <v>105516</v>
      </c>
      <c r="C90" s="80" t="s">
        <v>105573</v>
      </c>
      <c r="D90" s="80" t="s">
        <v>105573</v>
      </c>
      <c r="E90" s="80" t="s">
        <v>105520</v>
      </c>
      <c r="F90" s="80" t="s">
        <v>105541</v>
      </c>
      <c r="G90" s="80" t="s">
        <v>105553</v>
      </c>
      <c r="H90" s="80" t="s">
        <v>105573</v>
      </c>
      <c r="I90" s="80"/>
      <c r="J90" s="80"/>
      <c r="K90" s="80"/>
      <c r="L90" s="80"/>
      <c r="M90" s="304" t="s">
        <v>106304</v>
      </c>
      <c r="N90" s="83"/>
      <c r="O90" s="83"/>
      <c r="P90" s="84"/>
      <c r="Q90" s="84"/>
      <c r="R90" s="85">
        <f>+R91</f>
        <v>10000000</v>
      </c>
      <c r="S90" s="86"/>
      <c r="T90" s="101"/>
    </row>
    <row r="91" spans="1:20" ht="39.75" customHeight="1" x14ac:dyDescent="0.25">
      <c r="B91" s="88"/>
      <c r="C91" s="335"/>
      <c r="D91" s="335"/>
      <c r="E91" s="335"/>
      <c r="F91" s="335"/>
      <c r="G91" s="335"/>
      <c r="H91" s="335"/>
      <c r="I91" s="335"/>
      <c r="J91" s="90"/>
      <c r="K91" s="90" t="s">
        <v>106745</v>
      </c>
      <c r="L91" s="91" t="s">
        <v>113241</v>
      </c>
      <c r="M91" s="92" t="s">
        <v>113058</v>
      </c>
      <c r="N91" s="93">
        <v>45474</v>
      </c>
      <c r="O91" s="93" t="s">
        <v>112997</v>
      </c>
      <c r="P91" s="94" t="s">
        <v>113155</v>
      </c>
      <c r="Q91" s="94" t="s">
        <v>112999</v>
      </c>
      <c r="R91" s="99">
        <v>10000000</v>
      </c>
      <c r="S91" s="97"/>
      <c r="T91" s="98" t="s">
        <v>113019</v>
      </c>
    </row>
    <row r="92" spans="1:20" ht="30" x14ac:dyDescent="0.25">
      <c r="B92" s="80" t="s">
        <v>105516</v>
      </c>
      <c r="C92" s="80" t="s">
        <v>105573</v>
      </c>
      <c r="D92" s="80" t="s">
        <v>105573</v>
      </c>
      <c r="E92" s="80" t="s">
        <v>105520</v>
      </c>
      <c r="F92" s="80" t="s">
        <v>105541</v>
      </c>
      <c r="G92" s="80" t="s">
        <v>105553</v>
      </c>
      <c r="H92" s="80" t="s">
        <v>105675</v>
      </c>
      <c r="I92" s="80"/>
      <c r="J92" s="80"/>
      <c r="K92" s="80"/>
      <c r="L92" s="80"/>
      <c r="M92" s="304" t="s">
        <v>106306</v>
      </c>
      <c r="N92" s="83"/>
      <c r="O92" s="83"/>
      <c r="P92" s="84"/>
      <c r="Q92" s="84"/>
      <c r="R92" s="85">
        <f>+R93</f>
        <v>0</v>
      </c>
      <c r="S92" s="86"/>
      <c r="T92" s="101"/>
    </row>
    <row r="93" spans="1:20" x14ac:dyDescent="0.25">
      <c r="B93" s="88"/>
      <c r="C93" s="335"/>
      <c r="D93" s="335"/>
      <c r="E93" s="335"/>
      <c r="F93" s="335"/>
      <c r="G93" s="335"/>
      <c r="H93" s="335"/>
      <c r="I93" s="335"/>
      <c r="J93" s="90"/>
      <c r="K93" s="90" t="s">
        <v>106745</v>
      </c>
      <c r="L93" s="119">
        <v>81141500</v>
      </c>
      <c r="M93" s="120" t="s">
        <v>113056</v>
      </c>
      <c r="N93" s="121">
        <v>45314</v>
      </c>
      <c r="O93" s="93" t="s">
        <v>113001</v>
      </c>
      <c r="P93" s="94" t="s">
        <v>112998</v>
      </c>
      <c r="Q93" s="94" t="s">
        <v>113052</v>
      </c>
      <c r="R93" s="95">
        <f>6000000-6000000</f>
        <v>0</v>
      </c>
      <c r="S93" s="97"/>
      <c r="T93" s="98" t="s">
        <v>113057</v>
      </c>
    </row>
    <row r="94" spans="1:20" x14ac:dyDescent="0.25">
      <c r="B94" s="54" t="s">
        <v>105516</v>
      </c>
      <c r="C94" s="54" t="s">
        <v>105573</v>
      </c>
      <c r="D94" s="54" t="s">
        <v>105573</v>
      </c>
      <c r="E94" s="54" t="s">
        <v>105573</v>
      </c>
      <c r="F94" s="54"/>
      <c r="G94" s="54"/>
      <c r="H94" s="54"/>
      <c r="I94" s="54"/>
      <c r="J94" s="54"/>
      <c r="K94" s="55"/>
      <c r="L94" s="55"/>
      <c r="M94" s="333" t="s">
        <v>106777</v>
      </c>
      <c r="N94" s="57"/>
      <c r="O94" s="57"/>
      <c r="P94" s="58"/>
      <c r="Q94" s="58"/>
      <c r="R94" s="59">
        <f>+R95+R106+R112+R210+R225</f>
        <v>6671961500</v>
      </c>
      <c r="S94" s="60"/>
      <c r="T94" s="105"/>
    </row>
    <row r="95" spans="1:20" ht="76.5" customHeight="1" x14ac:dyDescent="0.25">
      <c r="B95" s="63" t="s">
        <v>105516</v>
      </c>
      <c r="C95" s="63" t="s">
        <v>105573</v>
      </c>
      <c r="D95" s="63" t="s">
        <v>105573</v>
      </c>
      <c r="E95" s="63" t="s">
        <v>105573</v>
      </c>
      <c r="F95" s="63" t="s">
        <v>105547</v>
      </c>
      <c r="G95" s="63"/>
      <c r="H95" s="63"/>
      <c r="I95" s="63"/>
      <c r="J95" s="63"/>
      <c r="K95" s="64"/>
      <c r="L95" s="65"/>
      <c r="M95" s="306" t="s">
        <v>113227</v>
      </c>
      <c r="N95" s="67"/>
      <c r="O95" s="67"/>
      <c r="P95" s="68"/>
      <c r="Q95" s="68"/>
      <c r="R95" s="69">
        <f>+R96+R100+R103</f>
        <v>539700000</v>
      </c>
      <c r="S95" s="70"/>
      <c r="T95" s="71"/>
    </row>
    <row r="96" spans="1:20" x14ac:dyDescent="0.25">
      <c r="B96" s="334" t="s">
        <v>105516</v>
      </c>
      <c r="C96" s="334" t="s">
        <v>105573</v>
      </c>
      <c r="D96" s="334" t="s">
        <v>105573</v>
      </c>
      <c r="E96" s="334" t="s">
        <v>105573</v>
      </c>
      <c r="F96" s="334" t="s">
        <v>105547</v>
      </c>
      <c r="G96" s="334" t="s">
        <v>105541</v>
      </c>
      <c r="H96" s="72"/>
      <c r="I96" s="72"/>
      <c r="J96" s="72"/>
      <c r="K96" s="73"/>
      <c r="L96" s="73"/>
      <c r="M96" s="305" t="s">
        <v>106829</v>
      </c>
      <c r="N96" s="75"/>
      <c r="O96" s="75"/>
      <c r="P96" s="76"/>
      <c r="Q96" s="76"/>
      <c r="R96" s="77">
        <f>SUM(R97:R99)</f>
        <v>51000000</v>
      </c>
      <c r="S96" s="78"/>
      <c r="T96" s="79"/>
    </row>
    <row r="97" spans="2:20" ht="18.75" customHeight="1" x14ac:dyDescent="0.25">
      <c r="B97" s="88"/>
      <c r="C97" s="335"/>
      <c r="D97" s="335"/>
      <c r="E97" s="335"/>
      <c r="F97" s="335"/>
      <c r="G97" s="335"/>
      <c r="H97" s="335"/>
      <c r="I97" s="335"/>
      <c r="J97" s="90"/>
      <c r="K97" s="90"/>
      <c r="L97" s="91"/>
      <c r="M97" s="92" t="s">
        <v>113062</v>
      </c>
      <c r="N97" s="93" t="s">
        <v>113031</v>
      </c>
      <c r="O97" s="93" t="s">
        <v>113031</v>
      </c>
      <c r="P97" s="93" t="s">
        <v>113031</v>
      </c>
      <c r="Q97" s="93" t="s">
        <v>113031</v>
      </c>
      <c r="R97" s="95">
        <v>7000000</v>
      </c>
      <c r="S97" s="97"/>
      <c r="T97" s="98" t="s">
        <v>113032</v>
      </c>
    </row>
    <row r="98" spans="2:20" ht="30" x14ac:dyDescent="0.25">
      <c r="B98" s="88"/>
      <c r="C98" s="335"/>
      <c r="D98" s="335"/>
      <c r="E98" s="335"/>
      <c r="F98" s="335"/>
      <c r="G98" s="335"/>
      <c r="H98" s="335"/>
      <c r="I98" s="335"/>
      <c r="J98" s="90"/>
      <c r="K98" s="90" t="s">
        <v>106828</v>
      </c>
      <c r="L98" s="91" t="s">
        <v>113250</v>
      </c>
      <c r="M98" s="92" t="s">
        <v>113059</v>
      </c>
      <c r="N98" s="93">
        <v>45294</v>
      </c>
      <c r="O98" s="93" t="s">
        <v>113060</v>
      </c>
      <c r="P98" s="94" t="s">
        <v>113011</v>
      </c>
      <c r="Q98" s="94" t="s">
        <v>113008</v>
      </c>
      <c r="R98" s="95">
        <v>40000000</v>
      </c>
      <c r="S98" s="97"/>
      <c r="T98" s="98" t="s">
        <v>113035</v>
      </c>
    </row>
    <row r="99" spans="2:20" x14ac:dyDescent="0.25">
      <c r="B99" s="88"/>
      <c r="C99" s="335"/>
      <c r="D99" s="335"/>
      <c r="E99" s="335"/>
      <c r="F99" s="335"/>
      <c r="G99" s="335"/>
      <c r="H99" s="335"/>
      <c r="I99" s="335"/>
      <c r="J99" s="90"/>
      <c r="K99" s="90" t="s">
        <v>106828</v>
      </c>
      <c r="L99" s="127">
        <v>78111800</v>
      </c>
      <c r="M99" s="92" t="s">
        <v>113061</v>
      </c>
      <c r="N99" s="93">
        <v>45312</v>
      </c>
      <c r="O99" s="93" t="s">
        <v>113037</v>
      </c>
      <c r="P99" s="93" t="s">
        <v>113011</v>
      </c>
      <c r="Q99" s="93" t="s">
        <v>113052</v>
      </c>
      <c r="R99" s="95">
        <f>15000000-11000000</f>
        <v>4000000</v>
      </c>
      <c r="S99" s="97"/>
      <c r="T99" s="98" t="s">
        <v>113035</v>
      </c>
    </row>
    <row r="100" spans="2:20" x14ac:dyDescent="0.25">
      <c r="B100" s="334" t="s">
        <v>105516</v>
      </c>
      <c r="C100" s="334" t="s">
        <v>105573</v>
      </c>
      <c r="D100" s="334" t="s">
        <v>105573</v>
      </c>
      <c r="E100" s="334" t="s">
        <v>105573</v>
      </c>
      <c r="F100" s="334" t="s">
        <v>105547</v>
      </c>
      <c r="G100" s="334" t="s">
        <v>105553</v>
      </c>
      <c r="H100" s="72"/>
      <c r="I100" s="72"/>
      <c r="J100" s="72"/>
      <c r="K100" s="73"/>
      <c r="L100" s="73"/>
      <c r="M100" s="305" t="s">
        <v>106857</v>
      </c>
      <c r="N100" s="75"/>
      <c r="O100" s="75"/>
      <c r="P100" s="76"/>
      <c r="Q100" s="76"/>
      <c r="R100" s="77">
        <f>SUM(R101:R102)</f>
        <v>12700000</v>
      </c>
      <c r="S100" s="78"/>
      <c r="T100" s="79"/>
    </row>
    <row r="101" spans="2:20" x14ac:dyDescent="0.25">
      <c r="B101" s="88"/>
      <c r="C101" s="335"/>
      <c r="D101" s="335"/>
      <c r="E101" s="335"/>
      <c r="F101" s="335"/>
      <c r="G101" s="335"/>
      <c r="H101" s="335"/>
      <c r="I101" s="335"/>
      <c r="J101" s="90"/>
      <c r="K101" s="90"/>
      <c r="L101" s="55"/>
      <c r="M101" s="92" t="s">
        <v>113065</v>
      </c>
      <c r="N101" s="93" t="s">
        <v>113031</v>
      </c>
      <c r="O101" s="93" t="s">
        <v>113031</v>
      </c>
      <c r="P101" s="94" t="s">
        <v>113031</v>
      </c>
      <c r="Q101" s="93" t="s">
        <v>113031</v>
      </c>
      <c r="R101" s="95">
        <v>1500000</v>
      </c>
      <c r="S101" s="97"/>
      <c r="T101" s="98" t="s">
        <v>113032</v>
      </c>
    </row>
    <row r="102" spans="2:20" ht="30" x14ac:dyDescent="0.25">
      <c r="B102" s="88"/>
      <c r="C102" s="335"/>
      <c r="D102" s="335"/>
      <c r="E102" s="335"/>
      <c r="F102" s="335"/>
      <c r="G102" s="335"/>
      <c r="H102" s="335"/>
      <c r="I102" s="335"/>
      <c r="J102" s="90"/>
      <c r="K102" s="90" t="s">
        <v>106856</v>
      </c>
      <c r="L102" s="127"/>
      <c r="M102" s="92" t="s">
        <v>113063</v>
      </c>
      <c r="N102" s="93">
        <v>45332</v>
      </c>
      <c r="O102" s="93" t="s">
        <v>113037</v>
      </c>
      <c r="P102" s="94" t="s">
        <v>113011</v>
      </c>
      <c r="Q102" s="93" t="s">
        <v>113251</v>
      </c>
      <c r="R102" s="95">
        <v>11200000</v>
      </c>
      <c r="S102" s="97"/>
      <c r="T102" s="98" t="s">
        <v>113064</v>
      </c>
    </row>
    <row r="103" spans="2:20" ht="30" x14ac:dyDescent="0.25">
      <c r="B103" s="334" t="s">
        <v>105516</v>
      </c>
      <c r="C103" s="334" t="s">
        <v>105573</v>
      </c>
      <c r="D103" s="334" t="s">
        <v>105573</v>
      </c>
      <c r="E103" s="334" t="s">
        <v>105573</v>
      </c>
      <c r="F103" s="334" t="s">
        <v>105547</v>
      </c>
      <c r="G103" s="334" t="s">
        <v>105556</v>
      </c>
      <c r="H103" s="72"/>
      <c r="I103" s="72"/>
      <c r="J103" s="72"/>
      <c r="K103" s="73"/>
      <c r="L103" s="73"/>
      <c r="M103" s="305" t="s">
        <v>106859</v>
      </c>
      <c r="N103" s="75"/>
      <c r="O103" s="75"/>
      <c r="P103" s="76"/>
      <c r="Q103" s="76"/>
      <c r="R103" s="77">
        <f>SUM(R104)</f>
        <v>476000000</v>
      </c>
      <c r="S103" s="78"/>
      <c r="T103" s="79"/>
    </row>
    <row r="104" spans="2:20" ht="30" x14ac:dyDescent="0.25">
      <c r="B104" s="80" t="s">
        <v>105516</v>
      </c>
      <c r="C104" s="80" t="s">
        <v>105573</v>
      </c>
      <c r="D104" s="80" t="s">
        <v>105573</v>
      </c>
      <c r="E104" s="80" t="s">
        <v>105573</v>
      </c>
      <c r="F104" s="80" t="s">
        <v>105547</v>
      </c>
      <c r="G104" s="80" t="s">
        <v>105556</v>
      </c>
      <c r="H104" s="80" t="s">
        <v>105520</v>
      </c>
      <c r="I104" s="80"/>
      <c r="J104" s="80"/>
      <c r="K104" s="80"/>
      <c r="L104" s="80"/>
      <c r="M104" s="304" t="s">
        <v>106861</v>
      </c>
      <c r="N104" s="83"/>
      <c r="O104" s="83"/>
      <c r="P104" s="84"/>
      <c r="Q104" s="84"/>
      <c r="R104" s="85">
        <f>SUM(R105)</f>
        <v>476000000</v>
      </c>
      <c r="S104" s="86"/>
      <c r="T104" s="101"/>
    </row>
    <row r="105" spans="2:20" ht="27" customHeight="1" x14ac:dyDescent="0.25">
      <c r="B105" s="88"/>
      <c r="C105" s="335"/>
      <c r="D105" s="335"/>
      <c r="E105" s="335"/>
      <c r="F105" s="335"/>
      <c r="G105" s="335"/>
      <c r="H105" s="335"/>
      <c r="I105" s="335"/>
      <c r="J105" s="90"/>
      <c r="K105" s="90" t="s">
        <v>106858</v>
      </c>
      <c r="L105" s="128"/>
      <c r="M105" s="92" t="s">
        <v>113066</v>
      </c>
      <c r="N105" s="93">
        <v>45293</v>
      </c>
      <c r="O105" s="93" t="s">
        <v>113060</v>
      </c>
      <c r="P105" s="94" t="s">
        <v>113011</v>
      </c>
      <c r="Q105" s="93" t="s">
        <v>113031</v>
      </c>
      <c r="R105" s="95">
        <f>300000000+46000000+130000000</f>
        <v>476000000</v>
      </c>
      <c r="S105" s="129"/>
      <c r="T105" s="98" t="s">
        <v>113064</v>
      </c>
    </row>
    <row r="106" spans="2:20" ht="30" x14ac:dyDescent="0.25">
      <c r="B106" s="63" t="s">
        <v>105516</v>
      </c>
      <c r="C106" s="63" t="s">
        <v>105573</v>
      </c>
      <c r="D106" s="63" t="s">
        <v>105573</v>
      </c>
      <c r="E106" s="63" t="s">
        <v>105573</v>
      </c>
      <c r="F106" s="63" t="s">
        <v>105550</v>
      </c>
      <c r="G106" s="63"/>
      <c r="H106" s="63"/>
      <c r="I106" s="63"/>
      <c r="J106" s="63"/>
      <c r="K106" s="64"/>
      <c r="L106" s="65"/>
      <c r="M106" s="306" t="s">
        <v>113347</v>
      </c>
      <c r="N106" s="67"/>
      <c r="O106" s="67"/>
      <c r="P106" s="68"/>
      <c r="Q106" s="68"/>
      <c r="R106" s="69">
        <f>+R107</f>
        <v>3273000000</v>
      </c>
      <c r="S106" s="70"/>
      <c r="T106" s="71"/>
    </row>
    <row r="107" spans="2:20" x14ac:dyDescent="0.25">
      <c r="B107" s="334" t="s">
        <v>105516</v>
      </c>
      <c r="C107" s="334" t="s">
        <v>105573</v>
      </c>
      <c r="D107" s="334" t="s">
        <v>105573</v>
      </c>
      <c r="E107" s="334" t="s">
        <v>105573</v>
      </c>
      <c r="F107" s="334" t="s">
        <v>105550</v>
      </c>
      <c r="G107" s="334" t="s">
        <v>105528</v>
      </c>
      <c r="H107" s="72"/>
      <c r="I107" s="72"/>
      <c r="J107" s="72"/>
      <c r="K107" s="73"/>
      <c r="L107" s="73"/>
      <c r="M107" s="305" t="s">
        <v>106867</v>
      </c>
      <c r="N107" s="75"/>
      <c r="O107" s="75"/>
      <c r="P107" s="76"/>
      <c r="Q107" s="76"/>
      <c r="R107" s="77">
        <f>+R108</f>
        <v>3273000000</v>
      </c>
      <c r="S107" s="78"/>
      <c r="T107" s="79"/>
    </row>
    <row r="108" spans="2:20" ht="45" customHeight="1" x14ac:dyDescent="0.25">
      <c r="B108" s="80" t="s">
        <v>105516</v>
      </c>
      <c r="C108" s="80" t="s">
        <v>105573</v>
      </c>
      <c r="D108" s="80" t="s">
        <v>105573</v>
      </c>
      <c r="E108" s="80" t="s">
        <v>105573</v>
      </c>
      <c r="F108" s="80" t="s">
        <v>105550</v>
      </c>
      <c r="G108" s="80" t="s">
        <v>105528</v>
      </c>
      <c r="H108" s="80" t="s">
        <v>105675</v>
      </c>
      <c r="I108" s="80"/>
      <c r="J108" s="80"/>
      <c r="K108" s="80"/>
      <c r="L108" s="80"/>
      <c r="M108" s="304" t="s">
        <v>113222</v>
      </c>
      <c r="N108" s="83"/>
      <c r="O108" s="83"/>
      <c r="P108" s="84"/>
      <c r="Q108" s="84"/>
      <c r="R108" s="85">
        <f>+R109</f>
        <v>3273000000</v>
      </c>
      <c r="S108" s="86"/>
      <c r="T108" s="101"/>
    </row>
    <row r="109" spans="2:20" ht="30" x14ac:dyDescent="0.25">
      <c r="B109" s="80" t="s">
        <v>105516</v>
      </c>
      <c r="C109" s="80" t="s">
        <v>105573</v>
      </c>
      <c r="D109" s="80" t="s">
        <v>105573</v>
      </c>
      <c r="E109" s="80" t="s">
        <v>105573</v>
      </c>
      <c r="F109" s="80" t="s">
        <v>105550</v>
      </c>
      <c r="G109" s="80" t="s">
        <v>105528</v>
      </c>
      <c r="H109" s="80" t="s">
        <v>105675</v>
      </c>
      <c r="I109" s="80" t="s">
        <v>106217</v>
      </c>
      <c r="J109" s="80"/>
      <c r="K109" s="80"/>
      <c r="L109" s="80"/>
      <c r="M109" s="304" t="s">
        <v>106892</v>
      </c>
      <c r="N109" s="83"/>
      <c r="O109" s="83"/>
      <c r="P109" s="84"/>
      <c r="Q109" s="84"/>
      <c r="R109" s="85">
        <f>+R110</f>
        <v>3273000000</v>
      </c>
      <c r="S109" s="86"/>
      <c r="T109" s="101"/>
    </row>
    <row r="110" spans="2:20" ht="30" x14ac:dyDescent="0.25">
      <c r="B110" s="80" t="s">
        <v>105516</v>
      </c>
      <c r="C110" s="80" t="s">
        <v>105573</v>
      </c>
      <c r="D110" s="80" t="s">
        <v>105573</v>
      </c>
      <c r="E110" s="80" t="s">
        <v>105573</v>
      </c>
      <c r="F110" s="80" t="s">
        <v>105550</v>
      </c>
      <c r="G110" s="80" t="s">
        <v>105528</v>
      </c>
      <c r="H110" s="80" t="s">
        <v>105675</v>
      </c>
      <c r="I110" s="80" t="s">
        <v>106217</v>
      </c>
      <c r="J110" s="80" t="s">
        <v>105917</v>
      </c>
      <c r="K110" s="80"/>
      <c r="L110" s="80"/>
      <c r="M110" s="304" t="s">
        <v>106900</v>
      </c>
      <c r="N110" s="83"/>
      <c r="O110" s="83"/>
      <c r="P110" s="84"/>
      <c r="Q110" s="84"/>
      <c r="R110" s="85">
        <f>SUM(R111:R111)</f>
        <v>3273000000</v>
      </c>
      <c r="S110" s="86"/>
      <c r="T110" s="101"/>
    </row>
    <row r="111" spans="2:20" ht="30" x14ac:dyDescent="0.25">
      <c r="B111" s="88"/>
      <c r="C111" s="335"/>
      <c r="D111" s="335"/>
      <c r="E111" s="335"/>
      <c r="F111" s="335"/>
      <c r="G111" s="335"/>
      <c r="H111" s="335"/>
      <c r="I111" s="335"/>
      <c r="J111" s="90"/>
      <c r="K111" s="335" t="s">
        <v>106866</v>
      </c>
      <c r="L111" s="344" t="s">
        <v>113067</v>
      </c>
      <c r="M111" s="131" t="s">
        <v>106900</v>
      </c>
      <c r="N111" s="121">
        <v>45293</v>
      </c>
      <c r="O111" s="93" t="s">
        <v>113060</v>
      </c>
      <c r="P111" s="132" t="s">
        <v>113068</v>
      </c>
      <c r="Q111" s="132" t="s">
        <v>113069</v>
      </c>
      <c r="R111" s="95">
        <v>3273000000</v>
      </c>
      <c r="S111" s="95"/>
      <c r="T111" s="98" t="s">
        <v>113000</v>
      </c>
    </row>
    <row r="112" spans="2:20" ht="30" x14ac:dyDescent="0.25">
      <c r="B112" s="63" t="s">
        <v>105516</v>
      </c>
      <c r="C112" s="63" t="s">
        <v>105573</v>
      </c>
      <c r="D112" s="63" t="s">
        <v>105573</v>
      </c>
      <c r="E112" s="63" t="s">
        <v>105573</v>
      </c>
      <c r="F112" s="63" t="s">
        <v>105553</v>
      </c>
      <c r="G112" s="63"/>
      <c r="H112" s="63"/>
      <c r="I112" s="63"/>
      <c r="J112" s="63"/>
      <c r="K112" s="64"/>
      <c r="L112" s="65"/>
      <c r="M112" s="306" t="s">
        <v>106978</v>
      </c>
      <c r="N112" s="67"/>
      <c r="O112" s="67"/>
      <c r="P112" s="68"/>
      <c r="Q112" s="68"/>
      <c r="R112" s="69">
        <f>+R113+R121+R180+R188+R194</f>
        <v>2373975500</v>
      </c>
      <c r="S112" s="70"/>
      <c r="T112" s="71"/>
    </row>
    <row r="113" spans="2:20" x14ac:dyDescent="0.25">
      <c r="B113" s="334" t="s">
        <v>105516</v>
      </c>
      <c r="C113" s="334" t="s">
        <v>105573</v>
      </c>
      <c r="D113" s="334" t="s">
        <v>105573</v>
      </c>
      <c r="E113" s="334" t="s">
        <v>105573</v>
      </c>
      <c r="F113" s="334" t="s">
        <v>105553</v>
      </c>
      <c r="G113" s="334" t="s">
        <v>105535</v>
      </c>
      <c r="H113" s="72"/>
      <c r="I113" s="72"/>
      <c r="J113" s="72"/>
      <c r="K113" s="73"/>
      <c r="L113" s="73"/>
      <c r="M113" s="305" t="s">
        <v>106988</v>
      </c>
      <c r="N113" s="75"/>
      <c r="O113" s="75"/>
      <c r="P113" s="76"/>
      <c r="Q113" s="76"/>
      <c r="R113" s="77">
        <f>+R114</f>
        <v>178200000</v>
      </c>
      <c r="S113" s="78"/>
      <c r="T113" s="79"/>
    </row>
    <row r="114" spans="2:20" x14ac:dyDescent="0.25">
      <c r="B114" s="80" t="s">
        <v>105516</v>
      </c>
      <c r="C114" s="80" t="s">
        <v>105573</v>
      </c>
      <c r="D114" s="80" t="s">
        <v>105573</v>
      </c>
      <c r="E114" s="80" t="s">
        <v>105573</v>
      </c>
      <c r="F114" s="80" t="s">
        <v>105553</v>
      </c>
      <c r="G114" s="80" t="s">
        <v>105535</v>
      </c>
      <c r="H114" s="80" t="s">
        <v>105520</v>
      </c>
      <c r="I114" s="80"/>
      <c r="J114" s="80"/>
      <c r="K114" s="80"/>
      <c r="L114" s="80"/>
      <c r="M114" s="304" t="s">
        <v>106990</v>
      </c>
      <c r="N114" s="83"/>
      <c r="O114" s="83"/>
      <c r="P114" s="84"/>
      <c r="Q114" s="84"/>
      <c r="R114" s="85">
        <f>SUM(R115:R120,)</f>
        <v>178200000</v>
      </c>
      <c r="S114" s="86"/>
      <c r="T114" s="101"/>
    </row>
    <row r="115" spans="2:20" ht="123.75" customHeight="1" x14ac:dyDescent="0.25">
      <c r="B115" s="88"/>
      <c r="C115" s="335"/>
      <c r="D115" s="335"/>
      <c r="E115" s="335"/>
      <c r="F115" s="335"/>
      <c r="G115" s="335"/>
      <c r="H115" s="335"/>
      <c r="I115" s="335"/>
      <c r="J115" s="90"/>
      <c r="K115" s="90" t="s">
        <v>106987</v>
      </c>
      <c r="L115" s="91" t="s">
        <v>113252</v>
      </c>
      <c r="M115" s="92" t="s">
        <v>113073</v>
      </c>
      <c r="N115" s="93">
        <v>45301</v>
      </c>
      <c r="O115" s="93" t="s">
        <v>113204</v>
      </c>
      <c r="P115" s="94" t="s">
        <v>113011</v>
      </c>
      <c r="Q115" s="94" t="s">
        <v>113071</v>
      </c>
      <c r="R115" s="95">
        <f>62700000/2-9450000</f>
        <v>21900000</v>
      </c>
      <c r="S115" s="97"/>
      <c r="T115" s="92" t="s">
        <v>113074</v>
      </c>
    </row>
    <row r="116" spans="2:20" ht="123.75" customHeight="1" x14ac:dyDescent="0.25">
      <c r="B116" s="88"/>
      <c r="C116" s="335"/>
      <c r="D116" s="335"/>
      <c r="E116" s="335"/>
      <c r="F116" s="335"/>
      <c r="G116" s="335"/>
      <c r="H116" s="335"/>
      <c r="I116" s="335"/>
      <c r="J116" s="90"/>
      <c r="K116" s="90" t="s">
        <v>106987</v>
      </c>
      <c r="L116" s="91" t="s">
        <v>113252</v>
      </c>
      <c r="M116" s="92" t="s">
        <v>113073</v>
      </c>
      <c r="N116" s="93">
        <v>45475</v>
      </c>
      <c r="O116" s="93" t="s">
        <v>112997</v>
      </c>
      <c r="P116" s="94" t="s">
        <v>113155</v>
      </c>
      <c r="Q116" s="94" t="s">
        <v>113071</v>
      </c>
      <c r="R116" s="95">
        <v>32300000</v>
      </c>
      <c r="S116" s="97"/>
      <c r="T116" s="92" t="s">
        <v>113074</v>
      </c>
    </row>
    <row r="117" spans="2:20" ht="68.25" customHeight="1" x14ac:dyDescent="0.25">
      <c r="B117" s="88"/>
      <c r="C117" s="335"/>
      <c r="D117" s="335"/>
      <c r="E117" s="335"/>
      <c r="F117" s="335"/>
      <c r="G117" s="335"/>
      <c r="H117" s="335"/>
      <c r="I117" s="335"/>
      <c r="J117" s="90"/>
      <c r="K117" s="90" t="s">
        <v>106987</v>
      </c>
      <c r="L117" s="91" t="s">
        <v>113252</v>
      </c>
      <c r="M117" s="92" t="s">
        <v>113253</v>
      </c>
      <c r="N117" s="93">
        <v>45300</v>
      </c>
      <c r="O117" s="93" t="s">
        <v>113254</v>
      </c>
      <c r="P117" s="94" t="s">
        <v>113211</v>
      </c>
      <c r="Q117" s="94" t="s">
        <v>113053</v>
      </c>
      <c r="R117" s="95">
        <f>62700000/2</f>
        <v>31350000</v>
      </c>
      <c r="S117" s="97"/>
      <c r="T117" s="98" t="s">
        <v>113072</v>
      </c>
    </row>
    <row r="118" spans="2:20" ht="68.25" customHeight="1" x14ac:dyDescent="0.25">
      <c r="B118" s="88"/>
      <c r="C118" s="335"/>
      <c r="D118" s="335"/>
      <c r="E118" s="335"/>
      <c r="F118" s="335"/>
      <c r="G118" s="335"/>
      <c r="H118" s="335"/>
      <c r="I118" s="335"/>
      <c r="J118" s="90"/>
      <c r="K118" s="90" t="s">
        <v>106987</v>
      </c>
      <c r="L118" s="91" t="s">
        <v>113252</v>
      </c>
      <c r="M118" s="92" t="s">
        <v>113253</v>
      </c>
      <c r="N118" s="93">
        <v>45475</v>
      </c>
      <c r="O118" s="93" t="s">
        <v>112997</v>
      </c>
      <c r="P118" s="94" t="s">
        <v>113155</v>
      </c>
      <c r="Q118" s="94" t="s">
        <v>113071</v>
      </c>
      <c r="R118" s="95">
        <v>32300000</v>
      </c>
      <c r="S118" s="97"/>
      <c r="T118" s="98" t="s">
        <v>113072</v>
      </c>
    </row>
    <row r="119" spans="2:20" ht="123.75" customHeight="1" x14ac:dyDescent="0.25">
      <c r="B119" s="88"/>
      <c r="C119" s="335"/>
      <c r="D119" s="335"/>
      <c r="E119" s="335"/>
      <c r="F119" s="335"/>
      <c r="G119" s="335"/>
      <c r="H119" s="335"/>
      <c r="I119" s="335"/>
      <c r="J119" s="90"/>
      <c r="K119" s="90" t="s">
        <v>106987</v>
      </c>
      <c r="L119" s="91" t="s">
        <v>113252</v>
      </c>
      <c r="M119" s="92" t="s">
        <v>113255</v>
      </c>
      <c r="N119" s="93">
        <v>45300</v>
      </c>
      <c r="O119" s="93" t="s">
        <v>113254</v>
      </c>
      <c r="P119" s="94" t="s">
        <v>113256</v>
      </c>
      <c r="Q119" s="94" t="s">
        <v>113053</v>
      </c>
      <c r="R119" s="95">
        <f>31500000-150000</f>
        <v>31350000</v>
      </c>
      <c r="S119" s="97"/>
      <c r="T119" s="98" t="s">
        <v>113072</v>
      </c>
    </row>
    <row r="120" spans="2:20" ht="123.75" customHeight="1" x14ac:dyDescent="0.25">
      <c r="B120" s="88"/>
      <c r="C120" s="335"/>
      <c r="D120" s="335"/>
      <c r="E120" s="335"/>
      <c r="F120" s="335"/>
      <c r="G120" s="335"/>
      <c r="H120" s="335"/>
      <c r="I120" s="335"/>
      <c r="J120" s="90"/>
      <c r="K120" s="90" t="s">
        <v>106987</v>
      </c>
      <c r="L120" s="91" t="s">
        <v>113252</v>
      </c>
      <c r="M120" s="92" t="s">
        <v>113348</v>
      </c>
      <c r="N120" s="93">
        <v>45475</v>
      </c>
      <c r="O120" s="93" t="s">
        <v>112997</v>
      </c>
      <c r="P120" s="94" t="s">
        <v>113155</v>
      </c>
      <c r="Q120" s="94" t="s">
        <v>113053</v>
      </c>
      <c r="R120" s="99">
        <v>29000000</v>
      </c>
      <c r="S120" s="97"/>
      <c r="T120" s="98" t="s">
        <v>113072</v>
      </c>
    </row>
    <row r="121" spans="2:20" ht="54" customHeight="1" x14ac:dyDescent="0.25">
      <c r="B121" s="334" t="s">
        <v>105516</v>
      </c>
      <c r="C121" s="334" t="s">
        <v>105573</v>
      </c>
      <c r="D121" s="334" t="s">
        <v>105573</v>
      </c>
      <c r="E121" s="334" t="s">
        <v>105573</v>
      </c>
      <c r="F121" s="334" t="s">
        <v>105553</v>
      </c>
      <c r="G121" s="334" t="s">
        <v>105538</v>
      </c>
      <c r="H121" s="72"/>
      <c r="I121" s="72"/>
      <c r="J121" s="72"/>
      <c r="K121" s="73"/>
      <c r="L121" s="73"/>
      <c r="M121" s="305" t="s">
        <v>113228</v>
      </c>
      <c r="N121" s="75"/>
      <c r="O121" s="75"/>
      <c r="P121" s="76"/>
      <c r="Q121" s="76"/>
      <c r="R121" s="77">
        <f>+R122</f>
        <v>1880793872</v>
      </c>
      <c r="S121" s="78"/>
      <c r="T121" s="135"/>
    </row>
    <row r="122" spans="2:20" ht="30" x14ac:dyDescent="0.25">
      <c r="B122" s="80" t="s">
        <v>105516</v>
      </c>
      <c r="C122" s="80" t="s">
        <v>105573</v>
      </c>
      <c r="D122" s="80" t="s">
        <v>105573</v>
      </c>
      <c r="E122" s="80" t="s">
        <v>105573</v>
      </c>
      <c r="F122" s="80" t="s">
        <v>105553</v>
      </c>
      <c r="G122" s="80" t="s">
        <v>105538</v>
      </c>
      <c r="H122" s="80" t="s">
        <v>105520</v>
      </c>
      <c r="I122" s="80"/>
      <c r="J122" s="80"/>
      <c r="K122" s="80"/>
      <c r="L122" s="80"/>
      <c r="M122" s="304" t="s">
        <v>107000</v>
      </c>
      <c r="N122" s="83"/>
      <c r="O122" s="83"/>
      <c r="P122" s="84"/>
      <c r="Q122" s="84"/>
      <c r="R122" s="85">
        <f>+R123+R169+R171</f>
        <v>1880793872</v>
      </c>
      <c r="S122" s="86"/>
      <c r="T122" s="101"/>
    </row>
    <row r="123" spans="2:20" ht="30" x14ac:dyDescent="0.25">
      <c r="B123" s="80" t="s">
        <v>105516</v>
      </c>
      <c r="C123" s="80" t="s">
        <v>105573</v>
      </c>
      <c r="D123" s="80" t="s">
        <v>105573</v>
      </c>
      <c r="E123" s="80" t="s">
        <v>105573</v>
      </c>
      <c r="F123" s="80" t="s">
        <v>105553</v>
      </c>
      <c r="G123" s="80" t="s">
        <v>105538</v>
      </c>
      <c r="H123" s="80" t="s">
        <v>105520</v>
      </c>
      <c r="I123" s="80" t="s">
        <v>105576</v>
      </c>
      <c r="J123" s="341"/>
      <c r="K123" s="341"/>
      <c r="L123" s="341"/>
      <c r="M123" s="304" t="s">
        <v>107002</v>
      </c>
      <c r="N123" s="83"/>
      <c r="O123" s="83"/>
      <c r="P123" s="84"/>
      <c r="Q123" s="111"/>
      <c r="R123" s="85">
        <f>SUM(R124:R168)</f>
        <v>1768398206</v>
      </c>
      <c r="S123" s="86"/>
      <c r="T123" s="101"/>
    </row>
    <row r="124" spans="2:20" ht="45" x14ac:dyDescent="0.25">
      <c r="B124" s="88"/>
      <c r="C124" s="335"/>
      <c r="D124" s="335"/>
      <c r="E124" s="335"/>
      <c r="F124" s="335"/>
      <c r="G124" s="335"/>
      <c r="H124" s="335"/>
      <c r="I124" s="335"/>
      <c r="J124" s="90"/>
      <c r="K124" s="90" t="s">
        <v>106997</v>
      </c>
      <c r="L124" s="55">
        <v>81101500</v>
      </c>
      <c r="M124" s="102" t="s">
        <v>113257</v>
      </c>
      <c r="N124" s="93">
        <v>45322</v>
      </c>
      <c r="O124" s="93" t="s">
        <v>113037</v>
      </c>
      <c r="P124" s="94" t="s">
        <v>113022</v>
      </c>
      <c r="Q124" s="94" t="s">
        <v>113258</v>
      </c>
      <c r="R124" s="95">
        <v>0</v>
      </c>
      <c r="S124" s="136"/>
      <c r="T124" s="98" t="s">
        <v>113080</v>
      </c>
    </row>
    <row r="125" spans="2:20" ht="68.25" customHeight="1" x14ac:dyDescent="0.25">
      <c r="B125" s="88"/>
      <c r="C125" s="335"/>
      <c r="D125" s="335"/>
      <c r="E125" s="335"/>
      <c r="F125" s="335"/>
      <c r="G125" s="335"/>
      <c r="H125" s="335"/>
      <c r="I125" s="335"/>
      <c r="J125" s="90"/>
      <c r="K125" s="90" t="s">
        <v>106997</v>
      </c>
      <c r="L125" s="55">
        <v>81101500</v>
      </c>
      <c r="M125" s="102" t="s">
        <v>113259</v>
      </c>
      <c r="N125" s="93">
        <v>45322</v>
      </c>
      <c r="O125" s="93" t="s">
        <v>113037</v>
      </c>
      <c r="P125" s="94" t="s">
        <v>113022</v>
      </c>
      <c r="Q125" s="94" t="s">
        <v>113258</v>
      </c>
      <c r="R125" s="95">
        <f>(25909000+150000)-22000000</f>
        <v>4059000</v>
      </c>
      <c r="S125" s="104"/>
      <c r="T125" s="100" t="s">
        <v>113080</v>
      </c>
    </row>
    <row r="126" spans="2:20" ht="141.75" customHeight="1" x14ac:dyDescent="0.25">
      <c r="B126" s="88"/>
      <c r="C126" s="335"/>
      <c r="D126" s="335"/>
      <c r="E126" s="335"/>
      <c r="F126" s="335"/>
      <c r="G126" s="335"/>
      <c r="H126" s="335"/>
      <c r="I126" s="335"/>
      <c r="J126" s="90"/>
      <c r="K126" s="90" t="s">
        <v>106997</v>
      </c>
      <c r="L126" s="55">
        <v>80101500</v>
      </c>
      <c r="M126" s="102" t="s">
        <v>113349</v>
      </c>
      <c r="N126" s="93">
        <v>45460</v>
      </c>
      <c r="O126" s="93" t="s">
        <v>113208</v>
      </c>
      <c r="P126" s="94" t="s">
        <v>113002</v>
      </c>
      <c r="Q126" s="94" t="s">
        <v>113071</v>
      </c>
      <c r="R126" s="95">
        <f>62700000/2+6650000</f>
        <v>38000000</v>
      </c>
      <c r="S126" s="97"/>
      <c r="T126" s="100" t="s">
        <v>113012</v>
      </c>
    </row>
    <row r="127" spans="2:20" ht="30" x14ac:dyDescent="0.25">
      <c r="B127" s="88"/>
      <c r="C127" s="335"/>
      <c r="D127" s="335"/>
      <c r="E127" s="335"/>
      <c r="F127" s="335"/>
      <c r="G127" s="335"/>
      <c r="H127" s="335"/>
      <c r="I127" s="335"/>
      <c r="J127" s="90"/>
      <c r="K127" s="90" t="s">
        <v>106997</v>
      </c>
      <c r="L127" s="55">
        <v>80101500</v>
      </c>
      <c r="M127" s="102" t="s">
        <v>113077</v>
      </c>
      <c r="N127" s="93">
        <v>45545</v>
      </c>
      <c r="O127" s="93" t="s">
        <v>113078</v>
      </c>
      <c r="P127" s="94" t="s">
        <v>113079</v>
      </c>
      <c r="Q127" s="94" t="s">
        <v>113071</v>
      </c>
      <c r="R127" s="95">
        <v>23000000</v>
      </c>
      <c r="S127" s="97"/>
      <c r="T127" s="92" t="s">
        <v>113019</v>
      </c>
    </row>
    <row r="128" spans="2:20" ht="45" x14ac:dyDescent="0.25">
      <c r="B128" s="88"/>
      <c r="C128" s="335"/>
      <c r="D128" s="335"/>
      <c r="E128" s="335"/>
      <c r="F128" s="335"/>
      <c r="G128" s="335"/>
      <c r="H128" s="335"/>
      <c r="I128" s="335"/>
      <c r="J128" s="90"/>
      <c r="K128" s="90" t="s">
        <v>106997</v>
      </c>
      <c r="L128" s="91" t="s">
        <v>113084</v>
      </c>
      <c r="M128" s="102" t="s">
        <v>113085</v>
      </c>
      <c r="N128" s="93">
        <v>45308</v>
      </c>
      <c r="O128" s="93" t="s">
        <v>113037</v>
      </c>
      <c r="P128" s="94" t="s">
        <v>113022</v>
      </c>
      <c r="Q128" s="94" t="s">
        <v>112999</v>
      </c>
      <c r="R128" s="95">
        <f>40000000-2611012.17</f>
        <v>37388987.829999998</v>
      </c>
      <c r="S128" s="97"/>
      <c r="T128" s="92" t="s">
        <v>113003</v>
      </c>
    </row>
    <row r="129" spans="2:21" ht="45" x14ac:dyDescent="0.25">
      <c r="B129" s="88"/>
      <c r="C129" s="335"/>
      <c r="D129" s="335"/>
      <c r="E129" s="335"/>
      <c r="F129" s="335"/>
      <c r="G129" s="335"/>
      <c r="H129" s="335"/>
      <c r="I129" s="335"/>
      <c r="J129" s="90"/>
      <c r="K129" s="90" t="s">
        <v>106997</v>
      </c>
      <c r="L129" s="55">
        <v>81111800</v>
      </c>
      <c r="M129" s="102" t="s">
        <v>113086</v>
      </c>
      <c r="N129" s="93">
        <v>45308</v>
      </c>
      <c r="O129" s="93" t="s">
        <v>113037</v>
      </c>
      <c r="P129" s="94" t="s">
        <v>113022</v>
      </c>
      <c r="Q129" s="94" t="s">
        <v>112999</v>
      </c>
      <c r="R129" s="95">
        <f>71000000+29000000</f>
        <v>100000000</v>
      </c>
      <c r="S129" s="97"/>
      <c r="T129" s="92" t="s">
        <v>113003</v>
      </c>
    </row>
    <row r="130" spans="2:21" ht="45" x14ac:dyDescent="0.25">
      <c r="B130" s="88"/>
      <c r="C130" s="335"/>
      <c r="D130" s="335"/>
      <c r="E130" s="335"/>
      <c r="F130" s="335"/>
      <c r="G130" s="335"/>
      <c r="H130" s="335"/>
      <c r="I130" s="335"/>
      <c r="J130" s="90"/>
      <c r="K130" s="90" t="s">
        <v>106997</v>
      </c>
      <c r="L130" s="55">
        <v>81111500</v>
      </c>
      <c r="M130" s="102" t="s">
        <v>113088</v>
      </c>
      <c r="N130" s="93">
        <v>45300</v>
      </c>
      <c r="O130" s="93" t="s">
        <v>113037</v>
      </c>
      <c r="P130" s="94" t="s">
        <v>113011</v>
      </c>
      <c r="Q130" s="94" t="s">
        <v>113053</v>
      </c>
      <c r="R130" s="95">
        <f>(4100000*11)/2-1300000</f>
        <v>21250000</v>
      </c>
      <c r="S130" s="97"/>
      <c r="T130" s="92" t="s">
        <v>113003</v>
      </c>
    </row>
    <row r="131" spans="2:21" ht="60" x14ac:dyDescent="0.25">
      <c r="B131" s="88"/>
      <c r="C131" s="335"/>
      <c r="D131" s="335"/>
      <c r="E131" s="335"/>
      <c r="F131" s="335"/>
      <c r="G131" s="335"/>
      <c r="H131" s="335"/>
      <c r="I131" s="335"/>
      <c r="J131" s="90"/>
      <c r="K131" s="90" t="s">
        <v>106997</v>
      </c>
      <c r="L131" s="55">
        <v>81111500</v>
      </c>
      <c r="M131" s="102" t="s">
        <v>113350</v>
      </c>
      <c r="N131" s="93">
        <v>45506</v>
      </c>
      <c r="O131" s="93" t="s">
        <v>113010</v>
      </c>
      <c r="P131" s="94" t="s">
        <v>113351</v>
      </c>
      <c r="Q131" s="94" t="s">
        <v>113053</v>
      </c>
      <c r="R131" s="95">
        <f>19200000+1300000</f>
        <v>20500000</v>
      </c>
      <c r="S131" s="97"/>
      <c r="T131" s="92" t="s">
        <v>113003</v>
      </c>
    </row>
    <row r="132" spans="2:21" ht="45" x14ac:dyDescent="0.25">
      <c r="B132" s="88"/>
      <c r="C132" s="335"/>
      <c r="D132" s="335"/>
      <c r="E132" s="335"/>
      <c r="F132" s="335"/>
      <c r="G132" s="335"/>
      <c r="H132" s="335"/>
      <c r="I132" s="335"/>
      <c r="J132" s="90"/>
      <c r="K132" s="90" t="s">
        <v>106997</v>
      </c>
      <c r="L132" s="55">
        <v>81111500</v>
      </c>
      <c r="M132" s="102" t="s">
        <v>113260</v>
      </c>
      <c r="N132" s="93">
        <v>45300</v>
      </c>
      <c r="O132" s="93" t="s">
        <v>113037</v>
      </c>
      <c r="P132" s="94" t="s">
        <v>113011</v>
      </c>
      <c r="Q132" s="94" t="s">
        <v>113053</v>
      </c>
      <c r="R132" s="95">
        <f>66000000/2-3000000</f>
        <v>30000000</v>
      </c>
      <c r="S132" s="97"/>
      <c r="T132" s="92" t="s">
        <v>113003</v>
      </c>
    </row>
    <row r="133" spans="2:21" ht="75" x14ac:dyDescent="0.25">
      <c r="B133" s="88"/>
      <c r="C133" s="335"/>
      <c r="D133" s="335"/>
      <c r="E133" s="335"/>
      <c r="F133" s="335"/>
      <c r="G133" s="335"/>
      <c r="H133" s="335"/>
      <c r="I133" s="335"/>
      <c r="J133" s="90"/>
      <c r="K133" s="90" t="s">
        <v>106997</v>
      </c>
      <c r="L133" s="55">
        <v>81111500</v>
      </c>
      <c r="M133" s="102" t="s">
        <v>113352</v>
      </c>
      <c r="N133" s="93">
        <v>45550</v>
      </c>
      <c r="O133" s="93" t="s">
        <v>113078</v>
      </c>
      <c r="P133" s="94" t="s">
        <v>112998</v>
      </c>
      <c r="Q133" s="94" t="s">
        <v>113053</v>
      </c>
      <c r="R133" s="95">
        <f>21000000+3500000</f>
        <v>24500000</v>
      </c>
      <c r="S133" s="97"/>
      <c r="T133" s="92" t="s">
        <v>113003</v>
      </c>
    </row>
    <row r="134" spans="2:21" ht="45" x14ac:dyDescent="0.25">
      <c r="B134" s="88"/>
      <c r="C134" s="335"/>
      <c r="D134" s="335"/>
      <c r="E134" s="335"/>
      <c r="F134" s="335"/>
      <c r="G134" s="335"/>
      <c r="H134" s="335"/>
      <c r="I134" s="335"/>
      <c r="J134" s="90"/>
      <c r="K134" s="90" t="s">
        <v>106997</v>
      </c>
      <c r="L134" s="55">
        <v>81111500</v>
      </c>
      <c r="M134" s="102" t="s">
        <v>113261</v>
      </c>
      <c r="N134" s="93">
        <v>45300</v>
      </c>
      <c r="O134" s="93" t="s">
        <v>113037</v>
      </c>
      <c r="P134" s="94" t="s">
        <v>113011</v>
      </c>
      <c r="Q134" s="94" t="s">
        <v>113053</v>
      </c>
      <c r="R134" s="95">
        <f>88000000/2-4000000</f>
        <v>40000000</v>
      </c>
      <c r="S134" s="97"/>
      <c r="T134" s="92" t="s">
        <v>113003</v>
      </c>
    </row>
    <row r="135" spans="2:21" ht="102" customHeight="1" x14ac:dyDescent="0.25">
      <c r="B135" s="88"/>
      <c r="C135" s="335"/>
      <c r="D135" s="335"/>
      <c r="E135" s="335"/>
      <c r="F135" s="335"/>
      <c r="G135" s="335"/>
      <c r="H135" s="335"/>
      <c r="I135" s="335"/>
      <c r="J135" s="90"/>
      <c r="K135" s="90" t="s">
        <v>106997</v>
      </c>
      <c r="L135" s="55">
        <v>81111500</v>
      </c>
      <c r="M135" s="102" t="s">
        <v>113353</v>
      </c>
      <c r="N135" s="93">
        <v>45475</v>
      </c>
      <c r="O135" s="93" t="s">
        <v>112997</v>
      </c>
      <c r="P135" s="94" t="s">
        <v>113354</v>
      </c>
      <c r="Q135" s="94" t="s">
        <v>113053</v>
      </c>
      <c r="R135" s="95">
        <f>45400000+4000000</f>
        <v>49400000</v>
      </c>
      <c r="S135" s="97"/>
      <c r="T135" s="92" t="s">
        <v>113003</v>
      </c>
    </row>
    <row r="136" spans="2:21" ht="45" x14ac:dyDescent="0.25">
      <c r="B136" s="88"/>
      <c r="C136" s="335"/>
      <c r="D136" s="335"/>
      <c r="E136" s="335"/>
      <c r="F136" s="335"/>
      <c r="G136" s="335"/>
      <c r="H136" s="335"/>
      <c r="I136" s="335"/>
      <c r="J136" s="90"/>
      <c r="K136" s="90" t="s">
        <v>106997</v>
      </c>
      <c r="L136" s="55">
        <v>81111500</v>
      </c>
      <c r="M136" s="102" t="s">
        <v>113262</v>
      </c>
      <c r="N136" s="93">
        <v>45300</v>
      </c>
      <c r="O136" s="93" t="s">
        <v>113037</v>
      </c>
      <c r="P136" s="94" t="s">
        <v>113011</v>
      </c>
      <c r="Q136" s="94" t="s">
        <v>113053</v>
      </c>
      <c r="R136" s="95">
        <f>82500000/2+12000000</f>
        <v>53250000</v>
      </c>
      <c r="S136" s="97"/>
      <c r="T136" s="92" t="s">
        <v>113003</v>
      </c>
    </row>
    <row r="137" spans="2:21" ht="67.5" customHeight="1" x14ac:dyDescent="0.25">
      <c r="B137" s="88"/>
      <c r="C137" s="335"/>
      <c r="D137" s="335"/>
      <c r="E137" s="335"/>
      <c r="F137" s="335"/>
      <c r="G137" s="335"/>
      <c r="H137" s="335"/>
      <c r="I137" s="335"/>
      <c r="J137" s="90"/>
      <c r="K137" s="90" t="s">
        <v>106997</v>
      </c>
      <c r="L137" s="55">
        <v>81111500</v>
      </c>
      <c r="M137" s="102" t="s">
        <v>113355</v>
      </c>
      <c r="N137" s="93">
        <v>45458</v>
      </c>
      <c r="O137" s="93" t="s">
        <v>112997</v>
      </c>
      <c r="P137" s="94" t="s">
        <v>113002</v>
      </c>
      <c r="Q137" s="94" t="s">
        <v>113053</v>
      </c>
      <c r="R137" s="99">
        <f>45000000-3500000</f>
        <v>41500000</v>
      </c>
      <c r="S137" s="97"/>
      <c r="T137" s="92" t="s">
        <v>113003</v>
      </c>
    </row>
    <row r="138" spans="2:21" ht="45" x14ac:dyDescent="0.25">
      <c r="B138" s="88"/>
      <c r="C138" s="335"/>
      <c r="D138" s="335"/>
      <c r="E138" s="335"/>
      <c r="F138" s="335"/>
      <c r="G138" s="335"/>
      <c r="H138" s="335"/>
      <c r="I138" s="335"/>
      <c r="J138" s="90"/>
      <c r="K138" s="90" t="s">
        <v>106997</v>
      </c>
      <c r="L138" s="55">
        <v>81111500</v>
      </c>
      <c r="M138" s="102" t="s">
        <v>113263</v>
      </c>
      <c r="N138" s="93">
        <v>45458</v>
      </c>
      <c r="O138" s="93" t="s">
        <v>112997</v>
      </c>
      <c r="P138" s="94" t="s">
        <v>113002</v>
      </c>
      <c r="Q138" s="94" t="s">
        <v>113053</v>
      </c>
      <c r="R138" s="99">
        <v>45000000</v>
      </c>
      <c r="S138" s="97"/>
      <c r="T138" s="92" t="s">
        <v>113003</v>
      </c>
    </row>
    <row r="139" spans="2:21" ht="75" customHeight="1" x14ac:dyDescent="0.25">
      <c r="B139" s="88"/>
      <c r="C139" s="335"/>
      <c r="D139" s="335"/>
      <c r="E139" s="335"/>
      <c r="F139" s="335"/>
      <c r="G139" s="335"/>
      <c r="H139" s="335"/>
      <c r="I139" s="335"/>
      <c r="J139" s="90"/>
      <c r="K139" s="90" t="s">
        <v>106997</v>
      </c>
      <c r="L139" s="55">
        <v>81111500</v>
      </c>
      <c r="M139" s="102" t="s">
        <v>113356</v>
      </c>
      <c r="N139" s="93">
        <v>45580</v>
      </c>
      <c r="O139" s="93" t="s">
        <v>113070</v>
      </c>
      <c r="P139" s="94" t="s">
        <v>113045</v>
      </c>
      <c r="Q139" s="94" t="s">
        <v>113053</v>
      </c>
      <c r="R139" s="99">
        <v>30000000</v>
      </c>
      <c r="S139" s="97"/>
      <c r="T139" s="92" t="s">
        <v>113003</v>
      </c>
    </row>
    <row r="140" spans="2:21" ht="45" x14ac:dyDescent="0.25">
      <c r="B140" s="88"/>
      <c r="C140" s="335"/>
      <c r="D140" s="335"/>
      <c r="E140" s="335"/>
      <c r="F140" s="335"/>
      <c r="G140" s="335"/>
      <c r="H140" s="335"/>
      <c r="I140" s="335"/>
      <c r="J140" s="90"/>
      <c r="K140" s="90" t="s">
        <v>106997</v>
      </c>
      <c r="L140" s="55">
        <v>81111500</v>
      </c>
      <c r="M140" s="102" t="s">
        <v>113263</v>
      </c>
      <c r="N140" s="93">
        <v>45474</v>
      </c>
      <c r="O140" s="93" t="s">
        <v>112997</v>
      </c>
      <c r="P140" s="94" t="s">
        <v>113007</v>
      </c>
      <c r="Q140" s="94" t="s">
        <v>113053</v>
      </c>
      <c r="R140" s="99">
        <v>30000000</v>
      </c>
      <c r="S140" s="97"/>
      <c r="T140" s="92" t="s">
        <v>113003</v>
      </c>
    </row>
    <row r="141" spans="2:21" ht="78" customHeight="1" x14ac:dyDescent="0.25">
      <c r="B141" s="88"/>
      <c r="C141" s="335"/>
      <c r="D141" s="335"/>
      <c r="E141" s="335"/>
      <c r="F141" s="335"/>
      <c r="G141" s="335"/>
      <c r="H141" s="335"/>
      <c r="I141" s="335"/>
      <c r="J141" s="90"/>
      <c r="K141" s="90"/>
      <c r="L141" s="55">
        <v>81111500</v>
      </c>
      <c r="M141" s="102" t="s">
        <v>113357</v>
      </c>
      <c r="N141" s="93">
        <v>45458</v>
      </c>
      <c r="O141" s="93" t="s">
        <v>112997</v>
      </c>
      <c r="P141" s="94" t="s">
        <v>113002</v>
      </c>
      <c r="Q141" s="94" t="s">
        <v>113053</v>
      </c>
      <c r="R141" s="99">
        <f>48000000-4800000</f>
        <v>43200000</v>
      </c>
      <c r="S141" s="97"/>
      <c r="T141" s="92" t="s">
        <v>113003</v>
      </c>
    </row>
    <row r="142" spans="2:21" ht="75.75" customHeight="1" x14ac:dyDescent="0.25">
      <c r="B142" s="88"/>
      <c r="C142" s="335"/>
      <c r="D142" s="335"/>
      <c r="E142" s="335"/>
      <c r="F142" s="335"/>
      <c r="G142" s="335"/>
      <c r="H142" s="335"/>
      <c r="I142" s="335"/>
      <c r="J142" s="90"/>
      <c r="K142" s="90"/>
      <c r="L142" s="55">
        <v>81111500</v>
      </c>
      <c r="M142" s="102" t="s">
        <v>113412</v>
      </c>
      <c r="N142" s="93">
        <v>45604</v>
      </c>
      <c r="O142" s="93" t="s">
        <v>113123</v>
      </c>
      <c r="P142" s="94" t="s">
        <v>113045</v>
      </c>
      <c r="Q142" s="94" t="s">
        <v>113053</v>
      </c>
      <c r="R142" s="99">
        <f>48000000-32763792.83</f>
        <v>15236207.170000002</v>
      </c>
      <c r="S142" s="97"/>
      <c r="T142" s="92" t="s">
        <v>113003</v>
      </c>
      <c r="U142" s="345"/>
    </row>
    <row r="143" spans="2:21" ht="60" x14ac:dyDescent="0.25">
      <c r="B143" s="88"/>
      <c r="C143" s="335"/>
      <c r="D143" s="335"/>
      <c r="E143" s="335"/>
      <c r="F143" s="335"/>
      <c r="G143" s="335"/>
      <c r="H143" s="335"/>
      <c r="I143" s="335"/>
      <c r="J143" s="90"/>
      <c r="K143" s="90"/>
      <c r="L143" s="55">
        <v>81111500</v>
      </c>
      <c r="M143" s="102" t="s">
        <v>113358</v>
      </c>
      <c r="N143" s="93">
        <v>45536</v>
      </c>
      <c r="O143" s="93" t="s">
        <v>113078</v>
      </c>
      <c r="P143" s="94" t="s">
        <v>113007</v>
      </c>
      <c r="Q143" s="94" t="s">
        <v>113053</v>
      </c>
      <c r="R143" s="99">
        <v>32000000</v>
      </c>
      <c r="S143" s="97"/>
      <c r="T143" s="92" t="s">
        <v>113003</v>
      </c>
    </row>
    <row r="144" spans="2:21" ht="30" x14ac:dyDescent="0.25">
      <c r="B144" s="88"/>
      <c r="C144" s="335"/>
      <c r="D144" s="335"/>
      <c r="E144" s="335"/>
      <c r="F144" s="335"/>
      <c r="G144" s="335"/>
      <c r="H144" s="335"/>
      <c r="I144" s="335"/>
      <c r="J144" s="90"/>
      <c r="K144" s="90"/>
      <c r="L144" s="55">
        <v>81111500</v>
      </c>
      <c r="M144" s="102" t="s">
        <v>113359</v>
      </c>
      <c r="N144" s="93">
        <v>45474</v>
      </c>
      <c r="O144" s="93" t="s">
        <v>112997</v>
      </c>
      <c r="P144" s="94" t="s">
        <v>113007</v>
      </c>
      <c r="Q144" s="94" t="s">
        <v>113053</v>
      </c>
      <c r="R144" s="99">
        <v>32000000</v>
      </c>
      <c r="S144" s="97"/>
      <c r="T144" s="92" t="s">
        <v>113003</v>
      </c>
    </row>
    <row r="145" spans="2:20" ht="30" x14ac:dyDescent="0.25">
      <c r="B145" s="88"/>
      <c r="C145" s="335"/>
      <c r="D145" s="335"/>
      <c r="E145" s="335"/>
      <c r="F145" s="335"/>
      <c r="G145" s="335"/>
      <c r="H145" s="335"/>
      <c r="I145" s="335"/>
      <c r="J145" s="90"/>
      <c r="K145" s="90" t="s">
        <v>106997</v>
      </c>
      <c r="L145" s="55">
        <v>80101600</v>
      </c>
      <c r="M145" s="102" t="s">
        <v>113360</v>
      </c>
      <c r="N145" s="93">
        <v>45458</v>
      </c>
      <c r="O145" s="93" t="s">
        <v>112997</v>
      </c>
      <c r="P145" s="94" t="s">
        <v>113002</v>
      </c>
      <c r="Q145" s="94" t="s">
        <v>113053</v>
      </c>
      <c r="R145" s="99">
        <f>42000000-7800000</f>
        <v>34200000</v>
      </c>
      <c r="S145" s="97"/>
      <c r="T145" s="92" t="s">
        <v>113003</v>
      </c>
    </row>
    <row r="146" spans="2:20" ht="30" x14ac:dyDescent="0.25">
      <c r="B146" s="88"/>
      <c r="C146" s="335"/>
      <c r="D146" s="335"/>
      <c r="E146" s="335"/>
      <c r="F146" s="335"/>
      <c r="G146" s="335"/>
      <c r="H146" s="335"/>
      <c r="I146" s="335"/>
      <c r="J146" s="90"/>
      <c r="K146" s="90"/>
      <c r="L146" s="55">
        <v>81111500</v>
      </c>
      <c r="M146" s="102" t="s">
        <v>113360</v>
      </c>
      <c r="N146" s="93">
        <v>45474</v>
      </c>
      <c r="O146" s="93" t="s">
        <v>112997</v>
      </c>
      <c r="P146" s="94" t="s">
        <v>113007</v>
      </c>
      <c r="Q146" s="94" t="s">
        <v>113053</v>
      </c>
      <c r="R146" s="99">
        <v>30000000</v>
      </c>
      <c r="S146" s="97"/>
      <c r="T146" s="92" t="s">
        <v>113003</v>
      </c>
    </row>
    <row r="147" spans="2:20" ht="30" x14ac:dyDescent="0.25">
      <c r="B147" s="88"/>
      <c r="C147" s="335"/>
      <c r="D147" s="335"/>
      <c r="E147" s="335"/>
      <c r="F147" s="335"/>
      <c r="G147" s="335"/>
      <c r="H147" s="335"/>
      <c r="I147" s="335"/>
      <c r="J147" s="90"/>
      <c r="K147" s="90" t="s">
        <v>106997</v>
      </c>
      <c r="L147" s="55">
        <v>81111500</v>
      </c>
      <c r="M147" s="102" t="s">
        <v>113089</v>
      </c>
      <c r="N147" s="93">
        <v>45300</v>
      </c>
      <c r="O147" s="93" t="s">
        <v>113037</v>
      </c>
      <c r="P147" s="94" t="s">
        <v>113011</v>
      </c>
      <c r="Q147" s="94" t="s">
        <v>113053</v>
      </c>
      <c r="R147" s="95">
        <f>62700000/2-2850000</f>
        <v>28500000</v>
      </c>
      <c r="S147" s="97"/>
      <c r="T147" s="92" t="s">
        <v>113003</v>
      </c>
    </row>
    <row r="148" spans="2:20" ht="96.75" customHeight="1" x14ac:dyDescent="0.25">
      <c r="B148" s="88"/>
      <c r="C148" s="335"/>
      <c r="D148" s="335"/>
      <c r="E148" s="335"/>
      <c r="F148" s="335"/>
      <c r="G148" s="335"/>
      <c r="H148" s="335"/>
      <c r="I148" s="335"/>
      <c r="J148" s="90"/>
      <c r="K148" s="90" t="s">
        <v>106997</v>
      </c>
      <c r="L148" s="55">
        <v>81111500</v>
      </c>
      <c r="M148" s="102" t="s">
        <v>113361</v>
      </c>
      <c r="N148" s="93">
        <v>45475</v>
      </c>
      <c r="O148" s="93" t="s">
        <v>112997</v>
      </c>
      <c r="P148" s="94" t="s">
        <v>113362</v>
      </c>
      <c r="Q148" s="94" t="s">
        <v>113053</v>
      </c>
      <c r="R148" s="95">
        <f>32300000+2850000</f>
        <v>35150000</v>
      </c>
      <c r="S148" s="97"/>
      <c r="T148" s="92" t="s">
        <v>113003</v>
      </c>
    </row>
    <row r="149" spans="2:20" ht="30" x14ac:dyDescent="0.25">
      <c r="B149" s="88"/>
      <c r="C149" s="335"/>
      <c r="D149" s="335"/>
      <c r="E149" s="335"/>
      <c r="F149" s="335"/>
      <c r="G149" s="335"/>
      <c r="H149" s="335"/>
      <c r="I149" s="335"/>
      <c r="J149" s="90"/>
      <c r="K149" s="90" t="s">
        <v>106997</v>
      </c>
      <c r="L149" s="55">
        <v>81112200</v>
      </c>
      <c r="M149" s="102" t="s">
        <v>113090</v>
      </c>
      <c r="N149" s="93">
        <v>45300</v>
      </c>
      <c r="O149" s="93" t="s">
        <v>113037</v>
      </c>
      <c r="P149" s="94" t="s">
        <v>113011</v>
      </c>
      <c r="Q149" s="94" t="s">
        <v>113053</v>
      </c>
      <c r="R149" s="95">
        <f>14000000-1799695</f>
        <v>12200305</v>
      </c>
      <c r="S149" s="97"/>
      <c r="T149" s="92" t="s">
        <v>113003</v>
      </c>
    </row>
    <row r="150" spans="2:20" ht="57.75" customHeight="1" x14ac:dyDescent="0.25">
      <c r="B150" s="88"/>
      <c r="C150" s="335"/>
      <c r="D150" s="335"/>
      <c r="E150" s="335"/>
      <c r="F150" s="335"/>
      <c r="G150" s="335"/>
      <c r="H150" s="335"/>
      <c r="I150" s="335"/>
      <c r="J150" s="90"/>
      <c r="K150" s="90" t="s">
        <v>106997</v>
      </c>
      <c r="L150" s="55">
        <v>81112200</v>
      </c>
      <c r="M150" s="102" t="s">
        <v>113363</v>
      </c>
      <c r="N150" s="93">
        <v>45460</v>
      </c>
      <c r="O150" s="93" t="s">
        <v>112997</v>
      </c>
      <c r="P150" s="94" t="s">
        <v>112998</v>
      </c>
      <c r="Q150" s="94" t="s">
        <v>113053</v>
      </c>
      <c r="R150" s="95">
        <f>92000000-24000000-9600000-30000000+113800000</f>
        <v>142200000</v>
      </c>
      <c r="S150" s="97"/>
      <c r="T150" s="92" t="s">
        <v>113003</v>
      </c>
    </row>
    <row r="151" spans="2:20" ht="45" x14ac:dyDescent="0.25">
      <c r="B151" s="88"/>
      <c r="C151" s="335"/>
      <c r="D151" s="335"/>
      <c r="E151" s="335"/>
      <c r="F151" s="335"/>
      <c r="G151" s="335"/>
      <c r="H151" s="335"/>
      <c r="I151" s="335"/>
      <c r="J151" s="90"/>
      <c r="K151" s="90"/>
      <c r="L151" s="55">
        <v>84111503</v>
      </c>
      <c r="M151" s="102" t="s">
        <v>113364</v>
      </c>
      <c r="N151" s="93">
        <v>45474</v>
      </c>
      <c r="O151" s="93" t="s">
        <v>112997</v>
      </c>
      <c r="P151" s="94" t="s">
        <v>113155</v>
      </c>
      <c r="Q151" s="94" t="s">
        <v>113094</v>
      </c>
      <c r="R151" s="95">
        <f>200000000-65749628-130000000</f>
        <v>4250372</v>
      </c>
      <c r="S151" s="346"/>
      <c r="T151" s="92" t="s">
        <v>113161</v>
      </c>
    </row>
    <row r="152" spans="2:20" ht="75" x14ac:dyDescent="0.25">
      <c r="B152" s="88"/>
      <c r="C152" s="335"/>
      <c r="D152" s="335"/>
      <c r="E152" s="335"/>
      <c r="F152" s="335"/>
      <c r="G152" s="335"/>
      <c r="H152" s="335"/>
      <c r="I152" s="335"/>
      <c r="J152" s="90"/>
      <c r="K152" s="90" t="s">
        <v>106997</v>
      </c>
      <c r="L152" s="91" t="s">
        <v>113365</v>
      </c>
      <c r="M152" s="102" t="s">
        <v>113093</v>
      </c>
      <c r="N152" s="93">
        <v>45308</v>
      </c>
      <c r="O152" s="93" t="s">
        <v>113006</v>
      </c>
      <c r="P152" s="94" t="s">
        <v>113002</v>
      </c>
      <c r="Q152" s="94" t="s">
        <v>113094</v>
      </c>
      <c r="R152" s="95">
        <f>290000000-30000000</f>
        <v>260000000</v>
      </c>
      <c r="S152" s="97"/>
      <c r="T152" s="92" t="s">
        <v>113003</v>
      </c>
    </row>
    <row r="153" spans="2:20" ht="30" x14ac:dyDescent="0.25">
      <c r="B153" s="138"/>
      <c r="C153" s="347"/>
      <c r="D153" s="347"/>
      <c r="E153" s="347"/>
      <c r="F153" s="347"/>
      <c r="G153" s="347"/>
      <c r="H153" s="347"/>
      <c r="I153" s="347"/>
      <c r="J153" s="140"/>
      <c r="K153" s="140" t="s">
        <v>106997</v>
      </c>
      <c r="L153" s="55">
        <v>81111800</v>
      </c>
      <c r="M153" s="92" t="s">
        <v>113265</v>
      </c>
      <c r="N153" s="93">
        <v>45308</v>
      </c>
      <c r="O153" s="93" t="s">
        <v>113037</v>
      </c>
      <c r="P153" s="94" t="s">
        <v>112998</v>
      </c>
      <c r="Q153" s="94" t="s">
        <v>113053</v>
      </c>
      <c r="R153" s="95">
        <f>65000000+30000000</f>
        <v>95000000</v>
      </c>
      <c r="S153" s="97"/>
      <c r="T153" s="92" t="s">
        <v>113003</v>
      </c>
    </row>
    <row r="154" spans="2:20" ht="120" x14ac:dyDescent="0.25">
      <c r="B154" s="138"/>
      <c r="C154" s="347"/>
      <c r="D154" s="347"/>
      <c r="E154" s="347"/>
      <c r="F154" s="347"/>
      <c r="G154" s="347"/>
      <c r="H154" s="347"/>
      <c r="I154" s="347"/>
      <c r="J154" s="140"/>
      <c r="K154" s="140" t="s">
        <v>106997</v>
      </c>
      <c r="L154" s="91" t="s">
        <v>113266</v>
      </c>
      <c r="M154" s="92" t="s">
        <v>113267</v>
      </c>
      <c r="N154" s="93">
        <v>45300</v>
      </c>
      <c r="O154" s="93" t="s">
        <v>113254</v>
      </c>
      <c r="P154" s="94" t="s">
        <v>113211</v>
      </c>
      <c r="Q154" s="94" t="s">
        <v>113053</v>
      </c>
      <c r="R154" s="95">
        <f>62700000/2</f>
        <v>31350000</v>
      </c>
      <c r="S154" s="97"/>
      <c r="T154" s="92" t="s">
        <v>113075</v>
      </c>
    </row>
    <row r="155" spans="2:20" ht="133.5" customHeight="1" x14ac:dyDescent="0.25">
      <c r="B155" s="138"/>
      <c r="C155" s="347"/>
      <c r="D155" s="347"/>
      <c r="E155" s="347"/>
      <c r="F155" s="347"/>
      <c r="G155" s="347"/>
      <c r="H155" s="347"/>
      <c r="I155" s="347"/>
      <c r="J155" s="140"/>
      <c r="K155" s="140" t="s">
        <v>106997</v>
      </c>
      <c r="L155" s="91" t="s">
        <v>113266</v>
      </c>
      <c r="M155" s="92" t="s">
        <v>113267</v>
      </c>
      <c r="N155" s="93">
        <v>45475</v>
      </c>
      <c r="O155" s="93" t="s">
        <v>112997</v>
      </c>
      <c r="P155" s="94" t="s">
        <v>113155</v>
      </c>
      <c r="Q155" s="94" t="s">
        <v>113053</v>
      </c>
      <c r="R155" s="95">
        <v>32300000</v>
      </c>
      <c r="S155" s="97"/>
      <c r="T155" s="92" t="s">
        <v>113075</v>
      </c>
    </row>
    <row r="156" spans="2:20" ht="135" x14ac:dyDescent="0.25">
      <c r="B156" s="138"/>
      <c r="C156" s="347"/>
      <c r="D156" s="347"/>
      <c r="E156" s="347"/>
      <c r="F156" s="347"/>
      <c r="G156" s="347"/>
      <c r="H156" s="347"/>
      <c r="I156" s="347"/>
      <c r="J156" s="140"/>
      <c r="K156" s="140" t="s">
        <v>106997</v>
      </c>
      <c r="L156" s="91" t="s">
        <v>113252</v>
      </c>
      <c r="M156" s="92" t="s">
        <v>113268</v>
      </c>
      <c r="N156" s="93">
        <v>45300</v>
      </c>
      <c r="O156" s="93" t="s">
        <v>113254</v>
      </c>
      <c r="P156" s="94" t="s">
        <v>113211</v>
      </c>
      <c r="Q156" s="94" t="s">
        <v>113053</v>
      </c>
      <c r="R156" s="95">
        <f>62700000/2</f>
        <v>31350000</v>
      </c>
      <c r="S156" s="97"/>
      <c r="T156" s="92" t="s">
        <v>113075</v>
      </c>
    </row>
    <row r="157" spans="2:20" ht="135" x14ac:dyDescent="0.25">
      <c r="B157" s="138"/>
      <c r="C157" s="347"/>
      <c r="D157" s="347"/>
      <c r="E157" s="347"/>
      <c r="F157" s="347"/>
      <c r="G157" s="347"/>
      <c r="H157" s="347"/>
      <c r="I157" s="347"/>
      <c r="J157" s="140"/>
      <c r="K157" s="140" t="s">
        <v>106997</v>
      </c>
      <c r="L157" s="91" t="s">
        <v>113252</v>
      </c>
      <c r="M157" s="92" t="s">
        <v>113268</v>
      </c>
      <c r="N157" s="93">
        <v>45475</v>
      </c>
      <c r="O157" s="93" t="s">
        <v>112997</v>
      </c>
      <c r="P157" s="94" t="s">
        <v>113155</v>
      </c>
      <c r="Q157" s="94" t="s">
        <v>113053</v>
      </c>
      <c r="R157" s="95">
        <v>32300000</v>
      </c>
      <c r="S157" s="97"/>
      <c r="T157" s="92" t="s">
        <v>113075</v>
      </c>
    </row>
    <row r="158" spans="2:20" ht="135" x14ac:dyDescent="0.25">
      <c r="B158" s="138"/>
      <c r="C158" s="347"/>
      <c r="D158" s="347"/>
      <c r="E158" s="347"/>
      <c r="F158" s="347"/>
      <c r="G158" s="347"/>
      <c r="H158" s="347"/>
      <c r="I158" s="347"/>
      <c r="J158" s="140"/>
      <c r="K158" s="140" t="s">
        <v>106997</v>
      </c>
      <c r="L158" s="91" t="s">
        <v>113252</v>
      </c>
      <c r="M158" s="92" t="s">
        <v>113268</v>
      </c>
      <c r="N158" s="93">
        <v>45300</v>
      </c>
      <c r="O158" s="93" t="s">
        <v>113254</v>
      </c>
      <c r="P158" s="94" t="s">
        <v>113211</v>
      </c>
      <c r="Q158" s="94" t="s">
        <v>113053</v>
      </c>
      <c r="R158" s="95">
        <f>62700000/2</f>
        <v>31350000</v>
      </c>
      <c r="S158" s="97"/>
      <c r="T158" s="92" t="s">
        <v>113075</v>
      </c>
    </row>
    <row r="159" spans="2:20" ht="135" x14ac:dyDescent="0.25">
      <c r="B159" s="138"/>
      <c r="C159" s="347"/>
      <c r="D159" s="347"/>
      <c r="E159" s="347"/>
      <c r="F159" s="347"/>
      <c r="G159" s="347"/>
      <c r="H159" s="347"/>
      <c r="I159" s="347"/>
      <c r="J159" s="140"/>
      <c r="K159" s="140" t="s">
        <v>106997</v>
      </c>
      <c r="L159" s="91" t="s">
        <v>113252</v>
      </c>
      <c r="M159" s="92" t="s">
        <v>113268</v>
      </c>
      <c r="N159" s="93">
        <v>45475</v>
      </c>
      <c r="O159" s="93" t="s">
        <v>112997</v>
      </c>
      <c r="P159" s="94" t="s">
        <v>113155</v>
      </c>
      <c r="Q159" s="94" t="s">
        <v>113053</v>
      </c>
      <c r="R159" s="95">
        <v>32300000</v>
      </c>
      <c r="S159" s="97"/>
      <c r="T159" s="92" t="s">
        <v>113075</v>
      </c>
    </row>
    <row r="160" spans="2:20" ht="120" x14ac:dyDescent="0.25">
      <c r="B160" s="138"/>
      <c r="C160" s="347"/>
      <c r="D160" s="347"/>
      <c r="E160" s="347"/>
      <c r="F160" s="347"/>
      <c r="G160" s="347"/>
      <c r="H160" s="347"/>
      <c r="I160" s="347"/>
      <c r="J160" s="140"/>
      <c r="K160" s="140" t="s">
        <v>106997</v>
      </c>
      <c r="L160" s="91" t="s">
        <v>113266</v>
      </c>
      <c r="M160" s="92" t="s">
        <v>113269</v>
      </c>
      <c r="N160" s="93">
        <v>45300</v>
      </c>
      <c r="O160" s="93" t="s">
        <v>113254</v>
      </c>
      <c r="P160" s="94" t="s">
        <v>113211</v>
      </c>
      <c r="Q160" s="94" t="s">
        <v>113053</v>
      </c>
      <c r="R160" s="95">
        <f>45100000/2</f>
        <v>22550000</v>
      </c>
      <c r="S160" s="97"/>
      <c r="T160" s="92" t="s">
        <v>113075</v>
      </c>
    </row>
    <row r="161" spans="2:20" ht="120" x14ac:dyDescent="0.25">
      <c r="B161" s="138"/>
      <c r="C161" s="347"/>
      <c r="D161" s="347"/>
      <c r="E161" s="347"/>
      <c r="F161" s="347"/>
      <c r="G161" s="347"/>
      <c r="H161" s="347"/>
      <c r="I161" s="347"/>
      <c r="J161" s="140"/>
      <c r="K161" s="140" t="s">
        <v>106997</v>
      </c>
      <c r="L161" s="91" t="s">
        <v>113266</v>
      </c>
      <c r="M161" s="92" t="s">
        <v>113269</v>
      </c>
      <c r="N161" s="93">
        <v>45475</v>
      </c>
      <c r="O161" s="93" t="s">
        <v>112997</v>
      </c>
      <c r="P161" s="94" t="s">
        <v>113354</v>
      </c>
      <c r="Q161" s="94" t="s">
        <v>113053</v>
      </c>
      <c r="R161" s="95">
        <v>23233334</v>
      </c>
      <c r="S161" s="97"/>
      <c r="T161" s="92" t="s">
        <v>113075</v>
      </c>
    </row>
    <row r="162" spans="2:20" ht="135" x14ac:dyDescent="0.25">
      <c r="B162" s="138"/>
      <c r="C162" s="347"/>
      <c r="D162" s="347"/>
      <c r="E162" s="347"/>
      <c r="F162" s="347"/>
      <c r="G162" s="347"/>
      <c r="H162" s="347"/>
      <c r="I162" s="347"/>
      <c r="J162" s="140"/>
      <c r="K162" s="140" t="s">
        <v>106997</v>
      </c>
      <c r="L162" s="91">
        <v>80101500</v>
      </c>
      <c r="M162" s="92" t="s">
        <v>113366</v>
      </c>
      <c r="N162" s="93">
        <v>45460</v>
      </c>
      <c r="O162" s="93" t="s">
        <v>113208</v>
      </c>
      <c r="P162" s="94" t="s">
        <v>113002</v>
      </c>
      <c r="Q162" s="94" t="s">
        <v>113053</v>
      </c>
      <c r="R162" s="99">
        <v>35340000</v>
      </c>
      <c r="S162" s="97"/>
      <c r="T162" s="92" t="s">
        <v>113075</v>
      </c>
    </row>
    <row r="163" spans="2:20" ht="120" x14ac:dyDescent="0.25">
      <c r="B163" s="138"/>
      <c r="C163" s="347"/>
      <c r="D163" s="347"/>
      <c r="E163" s="347"/>
      <c r="F163" s="347"/>
      <c r="G163" s="347"/>
      <c r="H163" s="347"/>
      <c r="I163" s="347"/>
      <c r="J163" s="140"/>
      <c r="K163" s="140" t="s">
        <v>106997</v>
      </c>
      <c r="L163" s="55">
        <v>80101500</v>
      </c>
      <c r="M163" s="92" t="s">
        <v>113367</v>
      </c>
      <c r="N163" s="93">
        <v>45460</v>
      </c>
      <c r="O163" s="93" t="s">
        <v>113208</v>
      </c>
      <c r="P163" s="94" t="s">
        <v>113002</v>
      </c>
      <c r="Q163" s="94" t="s">
        <v>113053</v>
      </c>
      <c r="R163" s="99">
        <v>34390000</v>
      </c>
      <c r="S163" s="97"/>
      <c r="T163" s="92" t="s">
        <v>113075</v>
      </c>
    </row>
    <row r="164" spans="2:20" ht="108" customHeight="1" x14ac:dyDescent="0.25">
      <c r="B164" s="138"/>
      <c r="C164" s="347"/>
      <c r="D164" s="347"/>
      <c r="E164" s="347"/>
      <c r="F164" s="347"/>
      <c r="G164" s="347"/>
      <c r="H164" s="347"/>
      <c r="I164" s="347"/>
      <c r="J164" s="140"/>
      <c r="K164" s="140" t="s">
        <v>106997</v>
      </c>
      <c r="L164" s="55">
        <v>80101500</v>
      </c>
      <c r="M164" s="92" t="s">
        <v>113081</v>
      </c>
      <c r="N164" s="93">
        <v>45300</v>
      </c>
      <c r="O164" s="93" t="s">
        <v>113204</v>
      </c>
      <c r="P164" s="94" t="s">
        <v>113011</v>
      </c>
      <c r="Q164" s="94" t="s">
        <v>113071</v>
      </c>
      <c r="R164" s="95">
        <f>45100000/2</f>
        <v>22550000</v>
      </c>
      <c r="S164" s="97"/>
      <c r="T164" s="92" t="s">
        <v>113082</v>
      </c>
    </row>
    <row r="165" spans="2:20" ht="108" customHeight="1" x14ac:dyDescent="0.25">
      <c r="B165" s="138"/>
      <c r="C165" s="347"/>
      <c r="D165" s="347"/>
      <c r="E165" s="347"/>
      <c r="F165" s="347"/>
      <c r="G165" s="347"/>
      <c r="H165" s="347"/>
      <c r="I165" s="347"/>
      <c r="J165" s="140"/>
      <c r="K165" s="140" t="s">
        <v>106997</v>
      </c>
      <c r="L165" s="55">
        <v>80101500</v>
      </c>
      <c r="M165" s="92" t="s">
        <v>113368</v>
      </c>
      <c r="N165" s="93">
        <v>45475</v>
      </c>
      <c r="O165" s="93" t="s">
        <v>113369</v>
      </c>
      <c r="P165" s="94" t="s">
        <v>113354</v>
      </c>
      <c r="Q165" s="94" t="s">
        <v>113071</v>
      </c>
      <c r="R165" s="95">
        <v>34200000</v>
      </c>
      <c r="S165" s="97"/>
      <c r="T165" s="92" t="s">
        <v>113082</v>
      </c>
    </row>
    <row r="166" spans="2:20" ht="75" x14ac:dyDescent="0.25">
      <c r="B166" s="138"/>
      <c r="C166" s="347"/>
      <c r="D166" s="347"/>
      <c r="E166" s="347"/>
      <c r="F166" s="347"/>
      <c r="G166" s="347"/>
      <c r="H166" s="347"/>
      <c r="I166" s="347"/>
      <c r="J166" s="140"/>
      <c r="K166" s="140"/>
      <c r="L166" s="348">
        <v>80101500</v>
      </c>
      <c r="M166" s="131" t="s">
        <v>113370</v>
      </c>
      <c r="N166" s="93">
        <v>45536</v>
      </c>
      <c r="O166" s="93" t="s">
        <v>113078</v>
      </c>
      <c r="P166" s="94" t="s">
        <v>112998</v>
      </c>
      <c r="Q166" s="94" t="s">
        <v>113095</v>
      </c>
      <c r="R166" s="99">
        <v>15000000</v>
      </c>
      <c r="S166" s="97"/>
      <c r="T166" s="92" t="s">
        <v>113019</v>
      </c>
    </row>
    <row r="167" spans="2:20" ht="90" x14ac:dyDescent="0.25">
      <c r="B167" s="138"/>
      <c r="C167" s="347"/>
      <c r="D167" s="347"/>
      <c r="E167" s="347"/>
      <c r="F167" s="347"/>
      <c r="G167" s="347"/>
      <c r="H167" s="347"/>
      <c r="I167" s="347"/>
      <c r="J167" s="140"/>
      <c r="K167" s="140"/>
      <c r="L167" s="204">
        <v>80101500</v>
      </c>
      <c r="M167" s="131" t="s">
        <v>113371</v>
      </c>
      <c r="N167" s="93">
        <v>45422</v>
      </c>
      <c r="O167" s="93" t="s">
        <v>113087</v>
      </c>
      <c r="P167" s="94" t="s">
        <v>113040</v>
      </c>
      <c r="Q167" s="94" t="s">
        <v>113053</v>
      </c>
      <c r="R167" s="95">
        <v>24000000</v>
      </c>
      <c r="S167" s="97"/>
      <c r="T167" s="92" t="s">
        <v>113082</v>
      </c>
    </row>
    <row r="168" spans="2:20" ht="60" x14ac:dyDescent="0.25">
      <c r="B168" s="138"/>
      <c r="C168" s="347"/>
      <c r="D168" s="347"/>
      <c r="E168" s="347"/>
      <c r="F168" s="347"/>
      <c r="G168" s="347"/>
      <c r="H168" s="347"/>
      <c r="I168" s="347"/>
      <c r="J168" s="140"/>
      <c r="K168" s="140"/>
      <c r="L168" s="204">
        <v>80101500</v>
      </c>
      <c r="M168" s="131" t="s">
        <v>113372</v>
      </c>
      <c r="N168" s="93">
        <v>45422</v>
      </c>
      <c r="O168" s="93" t="s">
        <v>113087</v>
      </c>
      <c r="P168" s="94" t="s">
        <v>112998</v>
      </c>
      <c r="Q168" s="94" t="s">
        <v>113053</v>
      </c>
      <c r="R168" s="95">
        <f>9600000+4800000</f>
        <v>14400000</v>
      </c>
      <c r="S168" s="97"/>
      <c r="T168" s="92" t="s">
        <v>113097</v>
      </c>
    </row>
    <row r="169" spans="2:20" ht="26.25" customHeight="1" x14ac:dyDescent="0.25">
      <c r="B169" s="80" t="s">
        <v>105516</v>
      </c>
      <c r="C169" s="80" t="s">
        <v>105573</v>
      </c>
      <c r="D169" s="80" t="s">
        <v>105573</v>
      </c>
      <c r="E169" s="80" t="s">
        <v>105573</v>
      </c>
      <c r="F169" s="80" t="s">
        <v>105553</v>
      </c>
      <c r="G169" s="80" t="s">
        <v>105538</v>
      </c>
      <c r="H169" s="80" t="s">
        <v>105520</v>
      </c>
      <c r="I169" s="80" t="s">
        <v>105579</v>
      </c>
      <c r="J169" s="80"/>
      <c r="K169" s="80"/>
      <c r="L169" s="80"/>
      <c r="M169" s="304" t="s">
        <v>113219</v>
      </c>
      <c r="N169" s="83"/>
      <c r="O169" s="83"/>
      <c r="P169" s="84"/>
      <c r="Q169" s="111"/>
      <c r="R169" s="85">
        <f>SUM(R170)</f>
        <v>10000000</v>
      </c>
      <c r="S169" s="86"/>
      <c r="T169" s="101"/>
    </row>
    <row r="170" spans="2:20" ht="90" x14ac:dyDescent="0.25">
      <c r="B170" s="88"/>
      <c r="C170" s="335"/>
      <c r="D170" s="335"/>
      <c r="E170" s="335"/>
      <c r="F170" s="335"/>
      <c r="G170" s="335"/>
      <c r="H170" s="335"/>
      <c r="I170" s="335"/>
      <c r="J170" s="90"/>
      <c r="K170" s="90" t="s">
        <v>106997</v>
      </c>
      <c r="L170" s="55">
        <v>80101500</v>
      </c>
      <c r="M170" s="102" t="s">
        <v>113373</v>
      </c>
      <c r="N170" s="93">
        <v>45565</v>
      </c>
      <c r="O170" s="93" t="s">
        <v>113070</v>
      </c>
      <c r="P170" s="94" t="s">
        <v>112998</v>
      </c>
      <c r="Q170" s="94" t="s">
        <v>113071</v>
      </c>
      <c r="R170" s="99">
        <v>10000000</v>
      </c>
      <c r="S170" s="97"/>
      <c r="T170" s="98" t="s">
        <v>113012</v>
      </c>
    </row>
    <row r="171" spans="2:20" ht="30" x14ac:dyDescent="0.25">
      <c r="B171" s="80" t="s">
        <v>105516</v>
      </c>
      <c r="C171" s="80" t="s">
        <v>105573</v>
      </c>
      <c r="D171" s="80" t="s">
        <v>105573</v>
      </c>
      <c r="E171" s="80" t="s">
        <v>105573</v>
      </c>
      <c r="F171" s="80" t="s">
        <v>105553</v>
      </c>
      <c r="G171" s="80" t="s">
        <v>105538</v>
      </c>
      <c r="H171" s="80" t="s">
        <v>105520</v>
      </c>
      <c r="I171" s="80" t="s">
        <v>106211</v>
      </c>
      <c r="J171" s="80"/>
      <c r="K171" s="80"/>
      <c r="L171" s="80"/>
      <c r="M171" s="304" t="s">
        <v>113220</v>
      </c>
      <c r="N171" s="83"/>
      <c r="O171" s="83"/>
      <c r="P171" s="84"/>
      <c r="Q171" s="84"/>
      <c r="R171" s="85">
        <f>SUM(R172:R179)</f>
        <v>102395666</v>
      </c>
      <c r="S171" s="86"/>
      <c r="T171" s="101"/>
    </row>
    <row r="172" spans="2:20" ht="30" x14ac:dyDescent="0.25">
      <c r="B172" s="88"/>
      <c r="C172" s="335"/>
      <c r="D172" s="335"/>
      <c r="E172" s="335"/>
      <c r="F172" s="335"/>
      <c r="G172" s="335"/>
      <c r="H172" s="335"/>
      <c r="I172" s="335"/>
      <c r="J172" s="90"/>
      <c r="K172" s="90" t="s">
        <v>106997</v>
      </c>
      <c r="L172" s="91">
        <v>80101500</v>
      </c>
      <c r="M172" s="92" t="s">
        <v>113272</v>
      </c>
      <c r="N172" s="93">
        <v>45300</v>
      </c>
      <c r="O172" s="93" t="s">
        <v>113037</v>
      </c>
      <c r="P172" s="94" t="s">
        <v>113256</v>
      </c>
      <c r="Q172" s="94" t="s">
        <v>113053</v>
      </c>
      <c r="R172" s="95">
        <f>8200000-600000+1786666</f>
        <v>9386666</v>
      </c>
      <c r="S172" s="97"/>
      <c r="T172" s="98" t="s">
        <v>113054</v>
      </c>
    </row>
    <row r="173" spans="2:20" ht="30" x14ac:dyDescent="0.25">
      <c r="B173" s="88"/>
      <c r="C173" s="335"/>
      <c r="D173" s="335"/>
      <c r="E173" s="335"/>
      <c r="F173" s="335"/>
      <c r="G173" s="335"/>
      <c r="H173" s="335"/>
      <c r="I173" s="335"/>
      <c r="J173" s="90"/>
      <c r="K173" s="90" t="s">
        <v>106997</v>
      </c>
      <c r="L173" s="91">
        <v>80111600</v>
      </c>
      <c r="M173" s="92" t="s">
        <v>113272</v>
      </c>
      <c r="N173" s="93">
        <v>45300</v>
      </c>
      <c r="O173" s="93" t="s">
        <v>113060</v>
      </c>
      <c r="P173" s="94" t="s">
        <v>113011</v>
      </c>
      <c r="Q173" s="94" t="s">
        <v>113053</v>
      </c>
      <c r="R173" s="95">
        <v>28600000</v>
      </c>
      <c r="S173" s="97"/>
      <c r="T173" s="98" t="s">
        <v>113054</v>
      </c>
    </row>
    <row r="174" spans="2:20" ht="30" x14ac:dyDescent="0.25">
      <c r="B174" s="88"/>
      <c r="C174" s="335"/>
      <c r="D174" s="335"/>
      <c r="E174" s="335"/>
      <c r="F174" s="335"/>
      <c r="G174" s="335"/>
      <c r="H174" s="335"/>
      <c r="I174" s="335"/>
      <c r="J174" s="90"/>
      <c r="K174" s="90" t="s">
        <v>106997</v>
      </c>
      <c r="L174" s="91">
        <v>80111600</v>
      </c>
      <c r="M174" s="92" t="s">
        <v>113272</v>
      </c>
      <c r="N174" s="93">
        <v>45300</v>
      </c>
      <c r="O174" s="93" t="s">
        <v>113060</v>
      </c>
      <c r="P174" s="94" t="s">
        <v>113004</v>
      </c>
      <c r="Q174" s="94" t="s">
        <v>113053</v>
      </c>
      <c r="R174" s="95">
        <f>24409000+2600000</f>
        <v>27009000</v>
      </c>
      <c r="S174" s="97"/>
      <c r="T174" s="98" t="s">
        <v>113054</v>
      </c>
    </row>
    <row r="175" spans="2:20" ht="30" x14ac:dyDescent="0.25">
      <c r="B175" s="88"/>
      <c r="C175" s="335"/>
      <c r="D175" s="335"/>
      <c r="E175" s="335"/>
      <c r="F175" s="335"/>
      <c r="G175" s="335"/>
      <c r="H175" s="335"/>
      <c r="I175" s="335"/>
      <c r="J175" s="90"/>
      <c r="K175" s="90" t="s">
        <v>106997</v>
      </c>
      <c r="L175" s="91">
        <v>80111600</v>
      </c>
      <c r="M175" s="92" t="s">
        <v>113272</v>
      </c>
      <c r="N175" s="93">
        <v>45300</v>
      </c>
      <c r="O175" s="93" t="s">
        <v>113060</v>
      </c>
      <c r="P175" s="94"/>
      <c r="Q175" s="94" t="s">
        <v>113053</v>
      </c>
      <c r="R175" s="95">
        <v>0</v>
      </c>
      <c r="S175" s="97"/>
      <c r="T175" s="98" t="s">
        <v>113054</v>
      </c>
    </row>
    <row r="176" spans="2:20" ht="30" x14ac:dyDescent="0.25">
      <c r="B176" s="88"/>
      <c r="C176" s="335"/>
      <c r="D176" s="335"/>
      <c r="E176" s="335"/>
      <c r="F176" s="335"/>
      <c r="G176" s="335"/>
      <c r="H176" s="335"/>
      <c r="I176" s="335"/>
      <c r="J176" s="90"/>
      <c r="K176" s="90" t="s">
        <v>106997</v>
      </c>
      <c r="L176" s="91">
        <v>80111600</v>
      </c>
      <c r="M176" s="92" t="s">
        <v>113272</v>
      </c>
      <c r="N176" s="93">
        <v>45300</v>
      </c>
      <c r="O176" s="93" t="s">
        <v>113060</v>
      </c>
      <c r="P176" s="94" t="s">
        <v>113211</v>
      </c>
      <c r="Q176" s="94" t="s">
        <v>113053</v>
      </c>
      <c r="R176" s="95">
        <f>11900000</f>
        <v>11900000</v>
      </c>
      <c r="S176" s="97"/>
      <c r="T176" s="98" t="s">
        <v>113054</v>
      </c>
    </row>
    <row r="177" spans="2:20" ht="30" x14ac:dyDescent="0.25">
      <c r="B177" s="88"/>
      <c r="C177" s="335"/>
      <c r="D177" s="335"/>
      <c r="E177" s="335"/>
      <c r="F177" s="335"/>
      <c r="G177" s="335"/>
      <c r="H177" s="335"/>
      <c r="I177" s="335"/>
      <c r="J177" s="90"/>
      <c r="K177" s="90" t="s">
        <v>106997</v>
      </c>
      <c r="L177" s="91">
        <v>80111600</v>
      </c>
      <c r="M177" s="92" t="s">
        <v>113272</v>
      </c>
      <c r="N177" s="93">
        <v>45505</v>
      </c>
      <c r="O177" s="93" t="s">
        <v>113010</v>
      </c>
      <c r="P177" s="94" t="s">
        <v>113007</v>
      </c>
      <c r="Q177" s="94" t="s">
        <v>113053</v>
      </c>
      <c r="R177" s="95">
        <v>6800000</v>
      </c>
      <c r="S177" s="97"/>
      <c r="T177" s="98" t="s">
        <v>113054</v>
      </c>
    </row>
    <row r="178" spans="2:20" ht="30" x14ac:dyDescent="0.25">
      <c r="B178" s="88"/>
      <c r="C178" s="335"/>
      <c r="D178" s="335"/>
      <c r="E178" s="335"/>
      <c r="F178" s="335"/>
      <c r="G178" s="335"/>
      <c r="H178" s="335"/>
      <c r="I178" s="335"/>
      <c r="J178" s="90"/>
      <c r="K178" s="90" t="s">
        <v>106997</v>
      </c>
      <c r="L178" s="91">
        <v>80111600</v>
      </c>
      <c r="M178" s="102" t="s">
        <v>113272</v>
      </c>
      <c r="N178" s="93">
        <v>45300</v>
      </c>
      <c r="O178" s="93" t="s">
        <v>113060</v>
      </c>
      <c r="P178" s="94" t="s">
        <v>113211</v>
      </c>
      <c r="Q178" s="94" t="s">
        <v>113053</v>
      </c>
      <c r="R178" s="95">
        <f>11900000</f>
        <v>11900000</v>
      </c>
      <c r="S178" s="97"/>
      <c r="T178" s="98" t="s">
        <v>113054</v>
      </c>
    </row>
    <row r="179" spans="2:20" ht="30" x14ac:dyDescent="0.25">
      <c r="B179" s="88"/>
      <c r="C179" s="335"/>
      <c r="D179" s="335"/>
      <c r="E179" s="335"/>
      <c r="F179" s="335"/>
      <c r="G179" s="335"/>
      <c r="H179" s="335"/>
      <c r="I179" s="335"/>
      <c r="J179" s="90"/>
      <c r="K179" s="90" t="s">
        <v>106997</v>
      </c>
      <c r="L179" s="91">
        <v>80111600</v>
      </c>
      <c r="M179" s="92" t="s">
        <v>113272</v>
      </c>
      <c r="N179" s="93">
        <v>45505</v>
      </c>
      <c r="O179" s="93" t="s">
        <v>113010</v>
      </c>
      <c r="P179" s="94" t="s">
        <v>113007</v>
      </c>
      <c r="Q179" s="94" t="s">
        <v>113053</v>
      </c>
      <c r="R179" s="95">
        <v>6800000</v>
      </c>
      <c r="S179" s="97"/>
      <c r="T179" s="98" t="s">
        <v>113054</v>
      </c>
    </row>
    <row r="180" spans="2:20" ht="30" x14ac:dyDescent="0.25">
      <c r="B180" s="334" t="s">
        <v>105516</v>
      </c>
      <c r="C180" s="334" t="s">
        <v>105573</v>
      </c>
      <c r="D180" s="334" t="s">
        <v>105573</v>
      </c>
      <c r="E180" s="334" t="s">
        <v>105573</v>
      </c>
      <c r="F180" s="334" t="s">
        <v>105553</v>
      </c>
      <c r="G180" s="334" t="s">
        <v>105541</v>
      </c>
      <c r="H180" s="72"/>
      <c r="I180" s="72"/>
      <c r="J180" s="72"/>
      <c r="K180" s="73"/>
      <c r="L180" s="73"/>
      <c r="M180" s="305" t="s">
        <v>107040</v>
      </c>
      <c r="N180" s="75"/>
      <c r="O180" s="75"/>
      <c r="P180" s="76"/>
      <c r="Q180" s="76"/>
      <c r="R180" s="77">
        <f>+R181+R185</f>
        <v>58320000</v>
      </c>
      <c r="S180" s="78"/>
      <c r="T180" s="79"/>
    </row>
    <row r="181" spans="2:20" x14ac:dyDescent="0.25">
      <c r="B181" s="80" t="s">
        <v>105516</v>
      </c>
      <c r="C181" s="80" t="s">
        <v>105573</v>
      </c>
      <c r="D181" s="80" t="s">
        <v>105573</v>
      </c>
      <c r="E181" s="80" t="s">
        <v>105573</v>
      </c>
      <c r="F181" s="80" t="s">
        <v>105553</v>
      </c>
      <c r="G181" s="80" t="s">
        <v>105541</v>
      </c>
      <c r="H181" s="80" t="s">
        <v>105520</v>
      </c>
      <c r="I181" s="80"/>
      <c r="J181" s="80"/>
      <c r="K181" s="80"/>
      <c r="L181" s="80"/>
      <c r="M181" s="304" t="s">
        <v>107042</v>
      </c>
      <c r="N181" s="83"/>
      <c r="O181" s="83"/>
      <c r="P181" s="84"/>
      <c r="Q181" s="84"/>
      <c r="R181" s="85">
        <f>SUM(R182+R183+R184)</f>
        <v>49800000</v>
      </c>
      <c r="S181" s="86"/>
      <c r="T181" s="101"/>
    </row>
    <row r="182" spans="2:20" x14ac:dyDescent="0.25">
      <c r="B182" s="88"/>
      <c r="C182" s="335"/>
      <c r="D182" s="335"/>
      <c r="E182" s="335"/>
      <c r="F182" s="335"/>
      <c r="G182" s="335"/>
      <c r="H182" s="335"/>
      <c r="I182" s="335"/>
      <c r="J182" s="90"/>
      <c r="K182" s="90" t="s">
        <v>107039</v>
      </c>
      <c r="L182" s="55"/>
      <c r="M182" s="92" t="s">
        <v>113098</v>
      </c>
      <c r="N182" s="93">
        <v>45293</v>
      </c>
      <c r="O182" s="93" t="s">
        <v>113060</v>
      </c>
      <c r="P182" s="132" t="s">
        <v>113068</v>
      </c>
      <c r="Q182" s="94" t="s">
        <v>113031</v>
      </c>
      <c r="R182" s="95">
        <v>15000000</v>
      </c>
      <c r="S182" s="129"/>
      <c r="T182" s="98" t="s">
        <v>113064</v>
      </c>
    </row>
    <row r="183" spans="2:20" ht="29.25" customHeight="1" x14ac:dyDescent="0.25">
      <c r="B183" s="88"/>
      <c r="C183" s="335"/>
      <c r="D183" s="335"/>
      <c r="E183" s="335"/>
      <c r="F183" s="335"/>
      <c r="G183" s="335"/>
      <c r="H183" s="335"/>
      <c r="I183" s="335"/>
      <c r="J183" s="90"/>
      <c r="K183" s="90" t="s">
        <v>107039</v>
      </c>
      <c r="L183" s="55"/>
      <c r="M183" s="102" t="s">
        <v>113099</v>
      </c>
      <c r="N183" s="93">
        <v>45293</v>
      </c>
      <c r="O183" s="93" t="s">
        <v>113060</v>
      </c>
      <c r="P183" s="132" t="s">
        <v>113068</v>
      </c>
      <c r="Q183" s="94" t="s">
        <v>113031</v>
      </c>
      <c r="R183" s="95">
        <f>16800000+16000000</f>
        <v>32800000</v>
      </c>
      <c r="S183" s="97"/>
      <c r="T183" s="98" t="s">
        <v>113064</v>
      </c>
    </row>
    <row r="184" spans="2:20" x14ac:dyDescent="0.25">
      <c r="B184" s="88"/>
      <c r="C184" s="335"/>
      <c r="D184" s="335"/>
      <c r="E184" s="335"/>
      <c r="F184" s="335"/>
      <c r="G184" s="335"/>
      <c r="H184" s="335"/>
      <c r="I184" s="335"/>
      <c r="J184" s="90"/>
      <c r="K184" s="90" t="s">
        <v>107039</v>
      </c>
      <c r="L184" s="55"/>
      <c r="M184" s="102" t="s">
        <v>113100</v>
      </c>
      <c r="N184" s="93" t="s">
        <v>113031</v>
      </c>
      <c r="O184" s="93" t="s">
        <v>113031</v>
      </c>
      <c r="P184" s="94" t="s">
        <v>113031</v>
      </c>
      <c r="Q184" s="94" t="s">
        <v>113031</v>
      </c>
      <c r="R184" s="95">
        <v>2000000</v>
      </c>
      <c r="S184" s="129"/>
      <c r="T184" s="98" t="s">
        <v>113032</v>
      </c>
    </row>
    <row r="185" spans="2:20" x14ac:dyDescent="0.25">
      <c r="B185" s="80" t="s">
        <v>105516</v>
      </c>
      <c r="C185" s="80" t="s">
        <v>105573</v>
      </c>
      <c r="D185" s="80" t="s">
        <v>105573</v>
      </c>
      <c r="E185" s="80" t="s">
        <v>105573</v>
      </c>
      <c r="F185" s="80" t="s">
        <v>105553</v>
      </c>
      <c r="G185" s="80" t="s">
        <v>105541</v>
      </c>
      <c r="H185" s="80" t="s">
        <v>105573</v>
      </c>
      <c r="I185" s="80"/>
      <c r="J185" s="80"/>
      <c r="K185" s="80"/>
      <c r="L185" s="80"/>
      <c r="M185" s="304" t="s">
        <v>113229</v>
      </c>
      <c r="N185" s="83"/>
      <c r="O185" s="83"/>
      <c r="P185" s="84"/>
      <c r="Q185" s="84"/>
      <c r="R185" s="85">
        <f>SUM(R186+R187)</f>
        <v>8520000</v>
      </c>
      <c r="S185" s="86"/>
      <c r="T185" s="101"/>
    </row>
    <row r="186" spans="2:20" ht="45.75" customHeight="1" x14ac:dyDescent="0.25">
      <c r="B186" s="319"/>
      <c r="C186" s="90"/>
      <c r="D186" s="90"/>
      <c r="E186" s="90"/>
      <c r="F186" s="90"/>
      <c r="G186" s="90"/>
      <c r="H186" s="90"/>
      <c r="I186" s="90"/>
      <c r="J186" s="90"/>
      <c r="K186" s="90" t="s">
        <v>107039</v>
      </c>
      <c r="L186" s="55">
        <v>81112100</v>
      </c>
      <c r="M186" s="92" t="s">
        <v>113273</v>
      </c>
      <c r="N186" s="93">
        <v>45414</v>
      </c>
      <c r="O186" s="93" t="s">
        <v>113208</v>
      </c>
      <c r="P186" s="94" t="s">
        <v>113002</v>
      </c>
      <c r="Q186" s="94" t="s">
        <v>113041</v>
      </c>
      <c r="R186" s="95">
        <f>4200000+600000</f>
        <v>4800000</v>
      </c>
      <c r="S186" s="320">
        <v>5088000</v>
      </c>
      <c r="T186" s="98" t="s">
        <v>113003</v>
      </c>
    </row>
    <row r="187" spans="2:20" ht="45" customHeight="1" x14ac:dyDescent="0.25">
      <c r="B187" s="319"/>
      <c r="C187" s="90"/>
      <c r="D187" s="90"/>
      <c r="E187" s="90"/>
      <c r="F187" s="90"/>
      <c r="G187" s="90"/>
      <c r="H187" s="90"/>
      <c r="I187" s="90"/>
      <c r="J187" s="90"/>
      <c r="K187" s="90" t="s">
        <v>107039</v>
      </c>
      <c r="L187" s="55">
        <v>81112100</v>
      </c>
      <c r="M187" s="102" t="s">
        <v>113101</v>
      </c>
      <c r="N187" s="93">
        <v>45422</v>
      </c>
      <c r="O187" s="93" t="s">
        <v>112997</v>
      </c>
      <c r="P187" s="132" t="s">
        <v>113068</v>
      </c>
      <c r="Q187" s="94" t="s">
        <v>113041</v>
      </c>
      <c r="R187" s="95">
        <v>3720000</v>
      </c>
      <c r="S187" s="95"/>
      <c r="T187" s="98" t="s">
        <v>113003</v>
      </c>
    </row>
    <row r="188" spans="2:20" x14ac:dyDescent="0.25">
      <c r="B188" s="334" t="s">
        <v>105516</v>
      </c>
      <c r="C188" s="334" t="s">
        <v>105573</v>
      </c>
      <c r="D188" s="334" t="s">
        <v>105573</v>
      </c>
      <c r="E188" s="334" t="s">
        <v>105573</v>
      </c>
      <c r="F188" s="334" t="s">
        <v>105553</v>
      </c>
      <c r="G188" s="342" t="s">
        <v>105544</v>
      </c>
      <c r="H188" s="72"/>
      <c r="I188" s="72"/>
      <c r="J188" s="72"/>
      <c r="K188" s="73"/>
      <c r="L188" s="73"/>
      <c r="M188" s="305" t="s">
        <v>107054</v>
      </c>
      <c r="N188" s="75"/>
      <c r="O188" s="75"/>
      <c r="P188" s="76"/>
      <c r="Q188" s="76"/>
      <c r="R188" s="77">
        <f>+R191+R189</f>
        <v>75749628</v>
      </c>
      <c r="S188" s="78"/>
      <c r="T188" s="79"/>
    </row>
    <row r="189" spans="2:20" x14ac:dyDescent="0.25">
      <c r="B189" s="80" t="s">
        <v>105516</v>
      </c>
      <c r="C189" s="80" t="s">
        <v>105573</v>
      </c>
      <c r="D189" s="80" t="s">
        <v>105573</v>
      </c>
      <c r="E189" s="80" t="s">
        <v>105573</v>
      </c>
      <c r="F189" s="80" t="s">
        <v>105553</v>
      </c>
      <c r="G189" s="81" t="s">
        <v>105544</v>
      </c>
      <c r="H189" s="81" t="s">
        <v>105520</v>
      </c>
      <c r="I189" s="80"/>
      <c r="J189" s="80"/>
      <c r="K189" s="80"/>
      <c r="L189" s="80"/>
      <c r="M189" s="304" t="s">
        <v>107056</v>
      </c>
      <c r="N189" s="83"/>
      <c r="O189" s="83"/>
      <c r="P189" s="84"/>
      <c r="Q189" s="84"/>
      <c r="R189" s="85">
        <f>R190</f>
        <v>65749628</v>
      </c>
      <c r="S189" s="86"/>
      <c r="T189" s="101"/>
    </row>
    <row r="190" spans="2:20" ht="19.5" customHeight="1" x14ac:dyDescent="0.25">
      <c r="B190" s="88"/>
      <c r="C190" s="335"/>
      <c r="D190" s="335"/>
      <c r="E190" s="335"/>
      <c r="F190" s="335"/>
      <c r="G190" s="335"/>
      <c r="H190" s="335"/>
      <c r="I190" s="335"/>
      <c r="J190" s="90"/>
      <c r="K190" s="90" t="s">
        <v>107053</v>
      </c>
      <c r="L190" s="91">
        <v>93141800</v>
      </c>
      <c r="M190" s="102" t="s">
        <v>113374</v>
      </c>
      <c r="N190" s="93">
        <v>45585</v>
      </c>
      <c r="O190" s="93" t="s">
        <v>113070</v>
      </c>
      <c r="P190" s="94" t="s">
        <v>113206</v>
      </c>
      <c r="Q190" s="94" t="s">
        <v>113031</v>
      </c>
      <c r="R190" s="99">
        <v>65749628</v>
      </c>
      <c r="S190" s="129"/>
      <c r="T190" s="98" t="s">
        <v>113012</v>
      </c>
    </row>
    <row r="191" spans="2:20" x14ac:dyDescent="0.25">
      <c r="B191" s="80" t="s">
        <v>105516</v>
      </c>
      <c r="C191" s="80" t="s">
        <v>105573</v>
      </c>
      <c r="D191" s="80" t="s">
        <v>105573</v>
      </c>
      <c r="E191" s="80" t="s">
        <v>105573</v>
      </c>
      <c r="F191" s="80" t="s">
        <v>105553</v>
      </c>
      <c r="G191" s="81" t="s">
        <v>105544</v>
      </c>
      <c r="H191" s="81" t="s">
        <v>106109</v>
      </c>
      <c r="I191" s="80"/>
      <c r="J191" s="80"/>
      <c r="K191" s="80"/>
      <c r="L191" s="80"/>
      <c r="M191" s="304" t="s">
        <v>107066</v>
      </c>
      <c r="N191" s="83"/>
      <c r="O191" s="83"/>
      <c r="P191" s="84"/>
      <c r="Q191" s="84"/>
      <c r="R191" s="85">
        <f>+R192</f>
        <v>10000000</v>
      </c>
      <c r="S191" s="86"/>
      <c r="T191" s="101"/>
    </row>
    <row r="192" spans="2:20" ht="19.5" customHeight="1" x14ac:dyDescent="0.25">
      <c r="B192" s="80" t="s">
        <v>105516</v>
      </c>
      <c r="C192" s="80" t="s">
        <v>105573</v>
      </c>
      <c r="D192" s="80" t="s">
        <v>105573</v>
      </c>
      <c r="E192" s="80" t="s">
        <v>105573</v>
      </c>
      <c r="F192" s="80" t="s">
        <v>105553</v>
      </c>
      <c r="G192" s="81" t="s">
        <v>105544</v>
      </c>
      <c r="H192" s="81" t="s">
        <v>106109</v>
      </c>
      <c r="I192" s="80">
        <v>3</v>
      </c>
      <c r="J192" s="80"/>
      <c r="K192" s="80"/>
      <c r="L192" s="80"/>
      <c r="M192" s="304" t="s">
        <v>107072</v>
      </c>
      <c r="N192" s="83"/>
      <c r="O192" s="83"/>
      <c r="P192" s="84"/>
      <c r="Q192" s="84"/>
      <c r="R192" s="85">
        <f>+R193</f>
        <v>10000000</v>
      </c>
      <c r="S192" s="86"/>
      <c r="T192" s="101"/>
    </row>
    <row r="193" spans="2:20" ht="30" x14ac:dyDescent="0.25">
      <c r="B193" s="88"/>
      <c r="C193" s="335"/>
      <c r="D193" s="335"/>
      <c r="E193" s="335"/>
      <c r="F193" s="335"/>
      <c r="G193" s="335"/>
      <c r="H193" s="335"/>
      <c r="I193" s="335"/>
      <c r="J193" s="90"/>
      <c r="K193" s="90" t="s">
        <v>107053</v>
      </c>
      <c r="L193" s="91" t="s">
        <v>113103</v>
      </c>
      <c r="M193" s="102" t="s">
        <v>113274</v>
      </c>
      <c r="N193" s="93">
        <v>45488</v>
      </c>
      <c r="O193" s="93" t="s">
        <v>113010</v>
      </c>
      <c r="P193" s="94" t="s">
        <v>113206</v>
      </c>
      <c r="Q193" s="94" t="s">
        <v>113095</v>
      </c>
      <c r="R193" s="99">
        <v>10000000</v>
      </c>
      <c r="S193" s="129"/>
      <c r="T193" s="98" t="s">
        <v>113029</v>
      </c>
    </row>
    <row r="194" spans="2:20" ht="39.75" customHeight="1" x14ac:dyDescent="0.25">
      <c r="B194" s="334" t="s">
        <v>105516</v>
      </c>
      <c r="C194" s="334" t="s">
        <v>105573</v>
      </c>
      <c r="D194" s="334" t="s">
        <v>105573</v>
      </c>
      <c r="E194" s="334" t="s">
        <v>105573</v>
      </c>
      <c r="F194" s="334" t="s">
        <v>105553</v>
      </c>
      <c r="G194" s="334" t="s">
        <v>105550</v>
      </c>
      <c r="H194" s="72"/>
      <c r="I194" s="72"/>
      <c r="J194" s="72"/>
      <c r="K194" s="73"/>
      <c r="L194" s="73"/>
      <c r="M194" s="305" t="s">
        <v>107092</v>
      </c>
      <c r="N194" s="75"/>
      <c r="O194" s="75"/>
      <c r="P194" s="76"/>
      <c r="Q194" s="76"/>
      <c r="R194" s="77">
        <f>+R195</f>
        <v>180912000</v>
      </c>
      <c r="S194" s="78"/>
      <c r="T194" s="79"/>
    </row>
    <row r="195" spans="2:20" ht="30" x14ac:dyDescent="0.25">
      <c r="B195" s="80" t="s">
        <v>105516</v>
      </c>
      <c r="C195" s="80" t="s">
        <v>105573</v>
      </c>
      <c r="D195" s="80" t="s">
        <v>105573</v>
      </c>
      <c r="E195" s="80" t="s">
        <v>105573</v>
      </c>
      <c r="F195" s="80" t="s">
        <v>105553</v>
      </c>
      <c r="G195" s="80" t="s">
        <v>105550</v>
      </c>
      <c r="H195" s="80" t="s">
        <v>105520</v>
      </c>
      <c r="I195" s="80"/>
      <c r="J195" s="80"/>
      <c r="K195" s="80"/>
      <c r="L195" s="80"/>
      <c r="M195" s="304" t="s">
        <v>107094</v>
      </c>
      <c r="N195" s="83"/>
      <c r="O195" s="83"/>
      <c r="P195" s="84"/>
      <c r="Q195" s="84"/>
      <c r="R195" s="85">
        <f>+R196+R198+R203</f>
        <v>180912000</v>
      </c>
      <c r="S195" s="86"/>
      <c r="T195" s="101"/>
    </row>
    <row r="196" spans="2:20" ht="30" x14ac:dyDescent="0.25">
      <c r="B196" s="80" t="s">
        <v>105516</v>
      </c>
      <c r="C196" s="80" t="s">
        <v>105573</v>
      </c>
      <c r="D196" s="80" t="s">
        <v>105573</v>
      </c>
      <c r="E196" s="80" t="s">
        <v>105573</v>
      </c>
      <c r="F196" s="80" t="s">
        <v>105553</v>
      </c>
      <c r="G196" s="80" t="s">
        <v>105550</v>
      </c>
      <c r="H196" s="80" t="s">
        <v>105520</v>
      </c>
      <c r="I196" s="80" t="s">
        <v>106211</v>
      </c>
      <c r="J196" s="80"/>
      <c r="K196" s="80"/>
      <c r="L196" s="80"/>
      <c r="M196" s="304" t="s">
        <v>113230</v>
      </c>
      <c r="N196" s="83"/>
      <c r="O196" s="83"/>
      <c r="P196" s="84"/>
      <c r="Q196" s="84"/>
      <c r="R196" s="85">
        <f>+R197</f>
        <v>40000000</v>
      </c>
      <c r="S196" s="86"/>
      <c r="T196" s="101"/>
    </row>
    <row r="197" spans="2:20" ht="78.75" customHeight="1" x14ac:dyDescent="0.25">
      <c r="B197" s="88"/>
      <c r="C197" s="335"/>
      <c r="D197" s="335"/>
      <c r="E197" s="335"/>
      <c r="F197" s="335"/>
      <c r="G197" s="335"/>
      <c r="H197" s="335"/>
      <c r="I197" s="335"/>
      <c r="J197" s="90"/>
      <c r="K197" s="90" t="s">
        <v>107091</v>
      </c>
      <c r="L197" s="91" t="s">
        <v>113105</v>
      </c>
      <c r="M197" s="92" t="s">
        <v>113375</v>
      </c>
      <c r="N197" s="93">
        <v>45536</v>
      </c>
      <c r="O197" s="93" t="s">
        <v>113078</v>
      </c>
      <c r="P197" s="94" t="s">
        <v>113007</v>
      </c>
      <c r="Q197" s="94" t="s">
        <v>113096</v>
      </c>
      <c r="R197" s="99">
        <f>80000000-40000000</f>
        <v>40000000</v>
      </c>
      <c r="S197" s="97"/>
      <c r="T197" s="98" t="s">
        <v>113003</v>
      </c>
    </row>
    <row r="198" spans="2:20" ht="30" x14ac:dyDescent="0.25">
      <c r="B198" s="80" t="s">
        <v>105516</v>
      </c>
      <c r="C198" s="80" t="s">
        <v>105573</v>
      </c>
      <c r="D198" s="80" t="s">
        <v>105573</v>
      </c>
      <c r="E198" s="80" t="s">
        <v>105573</v>
      </c>
      <c r="F198" s="80" t="s">
        <v>105553</v>
      </c>
      <c r="G198" s="80" t="s">
        <v>105550</v>
      </c>
      <c r="H198" s="80" t="s">
        <v>105520</v>
      </c>
      <c r="I198" s="80" t="s">
        <v>106214</v>
      </c>
      <c r="J198" s="80"/>
      <c r="K198" s="80"/>
      <c r="L198" s="80"/>
      <c r="M198" s="304" t="s">
        <v>107102</v>
      </c>
      <c r="N198" s="83"/>
      <c r="O198" s="83"/>
      <c r="P198" s="84"/>
      <c r="Q198" s="84"/>
      <c r="R198" s="85">
        <f>SUM(R199:R202)</f>
        <v>94000000</v>
      </c>
      <c r="S198" s="86"/>
      <c r="T198" s="101"/>
    </row>
    <row r="199" spans="2:20" ht="85.5" customHeight="1" x14ac:dyDescent="0.25">
      <c r="B199" s="88"/>
      <c r="C199" s="335"/>
      <c r="D199" s="335"/>
      <c r="E199" s="335"/>
      <c r="F199" s="335"/>
      <c r="G199" s="335"/>
      <c r="H199" s="335"/>
      <c r="I199" s="335"/>
      <c r="J199" s="90"/>
      <c r="K199" s="90" t="s">
        <v>107091</v>
      </c>
      <c r="L199" s="91" t="s">
        <v>113275</v>
      </c>
      <c r="M199" s="92" t="s">
        <v>113109</v>
      </c>
      <c r="N199" s="93">
        <v>45313</v>
      </c>
      <c r="O199" s="93" t="s">
        <v>113037</v>
      </c>
      <c r="P199" s="94" t="s">
        <v>113011</v>
      </c>
      <c r="Q199" s="94" t="s">
        <v>113096</v>
      </c>
      <c r="R199" s="95">
        <f>50000000+11000000</f>
        <v>61000000</v>
      </c>
      <c r="S199" s="97"/>
      <c r="T199" s="98" t="s">
        <v>113035</v>
      </c>
    </row>
    <row r="200" spans="2:20" ht="63.75" customHeight="1" x14ac:dyDescent="0.25">
      <c r="B200" s="88"/>
      <c r="C200" s="335"/>
      <c r="D200" s="335"/>
      <c r="E200" s="335"/>
      <c r="F200" s="335"/>
      <c r="G200" s="335"/>
      <c r="H200" s="335"/>
      <c r="I200" s="335"/>
      <c r="J200" s="90"/>
      <c r="K200" s="90"/>
      <c r="L200" s="91" t="s">
        <v>113133</v>
      </c>
      <c r="M200" s="92" t="s">
        <v>113276</v>
      </c>
      <c r="N200" s="93"/>
      <c r="O200" s="93"/>
      <c r="P200" s="94"/>
      <c r="Q200" s="94"/>
      <c r="R200" s="95">
        <v>16500000</v>
      </c>
      <c r="S200" s="97"/>
      <c r="T200" s="98" t="s">
        <v>113000</v>
      </c>
    </row>
    <row r="201" spans="2:20" ht="60" x14ac:dyDescent="0.25">
      <c r="B201" s="88"/>
      <c r="C201" s="335"/>
      <c r="D201" s="335"/>
      <c r="E201" s="335"/>
      <c r="F201" s="335"/>
      <c r="G201" s="335"/>
      <c r="H201" s="335"/>
      <c r="I201" s="335"/>
      <c r="J201" s="90"/>
      <c r="K201" s="90"/>
      <c r="L201" s="91" t="s">
        <v>113133</v>
      </c>
      <c r="M201" s="92" t="s">
        <v>113277</v>
      </c>
      <c r="N201" s="93">
        <v>45397</v>
      </c>
      <c r="O201" s="93" t="s">
        <v>113087</v>
      </c>
      <c r="P201" s="94" t="s">
        <v>113207</v>
      </c>
      <c r="Q201" s="94" t="s">
        <v>113069</v>
      </c>
      <c r="R201" s="95">
        <f>16500000-5500000</f>
        <v>11000000</v>
      </c>
      <c r="S201" s="320">
        <v>17520000</v>
      </c>
      <c r="T201" s="98" t="s">
        <v>113000</v>
      </c>
    </row>
    <row r="202" spans="2:20" ht="85.5" customHeight="1" x14ac:dyDescent="0.25">
      <c r="B202" s="88"/>
      <c r="C202" s="335"/>
      <c r="D202" s="335"/>
      <c r="E202" s="335"/>
      <c r="F202" s="335"/>
      <c r="G202" s="335"/>
      <c r="H202" s="335"/>
      <c r="I202" s="335"/>
      <c r="J202" s="90"/>
      <c r="K202" s="90"/>
      <c r="L202" s="91" t="s">
        <v>113133</v>
      </c>
      <c r="M202" s="92" t="s">
        <v>113376</v>
      </c>
      <c r="N202" s="93">
        <v>45544</v>
      </c>
      <c r="O202" s="93" t="s">
        <v>113078</v>
      </c>
      <c r="P202" s="94" t="s">
        <v>113377</v>
      </c>
      <c r="Q202" s="94" t="s">
        <v>113069</v>
      </c>
      <c r="R202" s="95">
        <v>5500000</v>
      </c>
      <c r="S202" s="97"/>
      <c r="T202" s="98" t="s">
        <v>113000</v>
      </c>
    </row>
    <row r="203" spans="2:20" ht="30" x14ac:dyDescent="0.25">
      <c r="B203" s="80" t="s">
        <v>105516</v>
      </c>
      <c r="C203" s="80" t="s">
        <v>105573</v>
      </c>
      <c r="D203" s="80" t="s">
        <v>105573</v>
      </c>
      <c r="E203" s="80" t="s">
        <v>105573</v>
      </c>
      <c r="F203" s="80" t="s">
        <v>105553</v>
      </c>
      <c r="G203" s="80" t="s">
        <v>105550</v>
      </c>
      <c r="H203" s="80" t="s">
        <v>105520</v>
      </c>
      <c r="I203" s="80" t="s">
        <v>106217</v>
      </c>
      <c r="J203" s="80"/>
      <c r="K203" s="80"/>
      <c r="L203" s="80"/>
      <c r="M203" s="304" t="s">
        <v>107104</v>
      </c>
      <c r="N203" s="83"/>
      <c r="O203" s="83"/>
      <c r="P203" s="84"/>
      <c r="Q203" s="84"/>
      <c r="R203" s="85">
        <f>SUM(R204:R209)</f>
        <v>46912000</v>
      </c>
      <c r="S203" s="86"/>
      <c r="T203" s="101"/>
    </row>
    <row r="204" spans="2:20" ht="75" x14ac:dyDescent="0.25">
      <c r="B204" s="88"/>
      <c r="C204" s="335"/>
      <c r="D204" s="335"/>
      <c r="E204" s="335"/>
      <c r="F204" s="335"/>
      <c r="G204" s="335"/>
      <c r="H204" s="335"/>
      <c r="I204" s="335"/>
      <c r="J204" s="90"/>
      <c r="K204" s="90" t="s">
        <v>107091</v>
      </c>
      <c r="L204" s="91">
        <v>72154100</v>
      </c>
      <c r="M204" s="92" t="s">
        <v>113278</v>
      </c>
      <c r="N204" s="93"/>
      <c r="O204" s="93"/>
      <c r="P204" s="94"/>
      <c r="Q204" s="93"/>
      <c r="R204" s="95">
        <v>10956000</v>
      </c>
      <c r="S204" s="97"/>
      <c r="T204" s="98" t="s">
        <v>113000</v>
      </c>
    </row>
    <row r="205" spans="2:20" ht="47.25" customHeight="1" x14ac:dyDescent="0.25">
      <c r="B205" s="138"/>
      <c r="C205" s="347"/>
      <c r="D205" s="347"/>
      <c r="E205" s="347"/>
      <c r="F205" s="347"/>
      <c r="G205" s="347"/>
      <c r="H205" s="347"/>
      <c r="I205" s="347"/>
      <c r="J205" s="140"/>
      <c r="K205" s="90" t="s">
        <v>107091</v>
      </c>
      <c r="L205" s="91">
        <v>81101713</v>
      </c>
      <c r="M205" s="92" t="s">
        <v>113378</v>
      </c>
      <c r="N205" s="93">
        <v>42933</v>
      </c>
      <c r="O205" s="93" t="s">
        <v>112997</v>
      </c>
      <c r="P205" s="132" t="s">
        <v>112998</v>
      </c>
      <c r="Q205" s="93" t="s">
        <v>113052</v>
      </c>
      <c r="R205" s="99">
        <v>6000000</v>
      </c>
      <c r="S205" s="144"/>
      <c r="T205" s="98" t="s">
        <v>113000</v>
      </c>
    </row>
    <row r="206" spans="2:20" ht="63" customHeight="1" x14ac:dyDescent="0.25">
      <c r="B206" s="138"/>
      <c r="C206" s="347"/>
      <c r="D206" s="347"/>
      <c r="E206" s="347"/>
      <c r="F206" s="347"/>
      <c r="G206" s="347"/>
      <c r="H206" s="347"/>
      <c r="I206" s="347"/>
      <c r="J206" s="140"/>
      <c r="K206" s="90" t="s">
        <v>107091</v>
      </c>
      <c r="L206" s="91" t="s">
        <v>113111</v>
      </c>
      <c r="M206" s="92" t="s">
        <v>113112</v>
      </c>
      <c r="N206" s="93">
        <v>45474</v>
      </c>
      <c r="O206" s="93" t="s">
        <v>112997</v>
      </c>
      <c r="P206" s="132" t="s">
        <v>113007</v>
      </c>
      <c r="Q206" s="93" t="s">
        <v>113052</v>
      </c>
      <c r="R206" s="99">
        <v>7000000</v>
      </c>
      <c r="S206" s="144"/>
      <c r="T206" s="98" t="s">
        <v>113000</v>
      </c>
    </row>
    <row r="207" spans="2:20" ht="75" x14ac:dyDescent="0.25">
      <c r="B207" s="138"/>
      <c r="C207" s="347"/>
      <c r="D207" s="347"/>
      <c r="E207" s="347"/>
      <c r="F207" s="347"/>
      <c r="G207" s="347"/>
      <c r="H207" s="347"/>
      <c r="I207" s="347"/>
      <c r="J207" s="140"/>
      <c r="K207" s="140" t="s">
        <v>107091</v>
      </c>
      <c r="L207" s="91">
        <v>72154100</v>
      </c>
      <c r="M207" s="92" t="s">
        <v>113110</v>
      </c>
      <c r="N207" s="93">
        <v>45397</v>
      </c>
      <c r="O207" s="93" t="s">
        <v>113087</v>
      </c>
      <c r="P207" s="94" t="s">
        <v>113207</v>
      </c>
      <c r="Q207" s="94" t="s">
        <v>113069</v>
      </c>
      <c r="R207" s="95">
        <f>10956000-3652000</f>
        <v>7304000</v>
      </c>
      <c r="S207" s="320">
        <v>11640000</v>
      </c>
      <c r="T207" s="98" t="s">
        <v>113000</v>
      </c>
    </row>
    <row r="208" spans="2:20" ht="102" customHeight="1" x14ac:dyDescent="0.25">
      <c r="B208" s="88"/>
      <c r="C208" s="335"/>
      <c r="D208" s="335"/>
      <c r="E208" s="335"/>
      <c r="F208" s="335"/>
      <c r="G208" s="335"/>
      <c r="H208" s="335"/>
      <c r="I208" s="335"/>
      <c r="J208" s="90"/>
      <c r="K208" s="90"/>
      <c r="L208" s="91">
        <v>72154100</v>
      </c>
      <c r="M208" s="92" t="s">
        <v>113379</v>
      </c>
      <c r="N208" s="93">
        <v>45544</v>
      </c>
      <c r="O208" s="93" t="s">
        <v>113078</v>
      </c>
      <c r="P208" s="94" t="s">
        <v>113377</v>
      </c>
      <c r="Q208" s="94" t="s">
        <v>113069</v>
      </c>
      <c r="R208" s="95">
        <v>3652000</v>
      </c>
      <c r="S208" s="97"/>
      <c r="T208" s="98" t="s">
        <v>113000</v>
      </c>
    </row>
    <row r="209" spans="2:20" ht="30" customHeight="1" x14ac:dyDescent="0.25">
      <c r="B209" s="138"/>
      <c r="C209" s="347"/>
      <c r="D209" s="347"/>
      <c r="E209" s="347"/>
      <c r="F209" s="347"/>
      <c r="G209" s="347"/>
      <c r="H209" s="347"/>
      <c r="I209" s="347"/>
      <c r="J209" s="140"/>
      <c r="K209" s="140" t="s">
        <v>107091</v>
      </c>
      <c r="L209" s="127"/>
      <c r="M209" s="120" t="s">
        <v>113114</v>
      </c>
      <c r="N209" s="121" t="s">
        <v>113031</v>
      </c>
      <c r="O209" s="121" t="s">
        <v>113031</v>
      </c>
      <c r="P209" s="121" t="s">
        <v>113031</v>
      </c>
      <c r="Q209" s="121" t="s">
        <v>113031</v>
      </c>
      <c r="R209" s="95">
        <v>12000000</v>
      </c>
      <c r="S209" s="99"/>
      <c r="T209" s="98" t="s">
        <v>113032</v>
      </c>
    </row>
    <row r="210" spans="2:20" ht="30.75" customHeight="1" x14ac:dyDescent="0.25">
      <c r="B210" s="63" t="s">
        <v>105516</v>
      </c>
      <c r="C210" s="63" t="s">
        <v>105573</v>
      </c>
      <c r="D210" s="63" t="s">
        <v>105573</v>
      </c>
      <c r="E210" s="63" t="s">
        <v>105573</v>
      </c>
      <c r="F210" s="63" t="s">
        <v>105556</v>
      </c>
      <c r="G210" s="63"/>
      <c r="H210" s="63"/>
      <c r="I210" s="63"/>
      <c r="J210" s="63"/>
      <c r="K210" s="64"/>
      <c r="L210" s="65"/>
      <c r="M210" s="306" t="s">
        <v>107164</v>
      </c>
      <c r="N210" s="67"/>
      <c r="O210" s="67"/>
      <c r="P210" s="68"/>
      <c r="Q210" s="68"/>
      <c r="R210" s="69">
        <f>+R211+R215+R218+R222</f>
        <v>416286000</v>
      </c>
      <c r="S210" s="70"/>
      <c r="T210" s="71"/>
    </row>
    <row r="211" spans="2:20" ht="22.5" customHeight="1" x14ac:dyDescent="0.25">
      <c r="B211" s="334" t="s">
        <v>105516</v>
      </c>
      <c r="C211" s="334" t="s">
        <v>105573</v>
      </c>
      <c r="D211" s="334" t="s">
        <v>105573</v>
      </c>
      <c r="E211" s="334" t="s">
        <v>105573</v>
      </c>
      <c r="F211" s="334" t="s">
        <v>105556</v>
      </c>
      <c r="G211" s="334" t="s">
        <v>105535</v>
      </c>
      <c r="H211" s="72"/>
      <c r="I211" s="72"/>
      <c r="J211" s="72"/>
      <c r="K211" s="73"/>
      <c r="L211" s="73"/>
      <c r="M211" s="305" t="s">
        <v>107166</v>
      </c>
      <c r="N211" s="75"/>
      <c r="O211" s="75"/>
      <c r="P211" s="76"/>
      <c r="Q211" s="76"/>
      <c r="R211" s="77">
        <f>+R212</f>
        <v>90000000</v>
      </c>
      <c r="S211" s="78"/>
      <c r="T211" s="79"/>
    </row>
    <row r="212" spans="2:20" x14ac:dyDescent="0.25">
      <c r="B212" s="80" t="s">
        <v>105516</v>
      </c>
      <c r="C212" s="80" t="s">
        <v>105573</v>
      </c>
      <c r="D212" s="80" t="s">
        <v>105573</v>
      </c>
      <c r="E212" s="80" t="s">
        <v>105573</v>
      </c>
      <c r="F212" s="80" t="s">
        <v>105556</v>
      </c>
      <c r="G212" s="80" t="s">
        <v>105535</v>
      </c>
      <c r="H212" s="80" t="s">
        <v>106109</v>
      </c>
      <c r="I212" s="80"/>
      <c r="J212" s="80"/>
      <c r="K212" s="80"/>
      <c r="L212" s="80"/>
      <c r="M212" s="304" t="s">
        <v>107178</v>
      </c>
      <c r="N212" s="83"/>
      <c r="O212" s="83"/>
      <c r="P212" s="84"/>
      <c r="Q212" s="84"/>
      <c r="R212" s="85">
        <f>SUM(R213+R214)</f>
        <v>90000000</v>
      </c>
      <c r="S212" s="86"/>
      <c r="T212" s="101"/>
    </row>
    <row r="213" spans="2:20" ht="30" x14ac:dyDescent="0.25">
      <c r="B213" s="88"/>
      <c r="C213" s="335"/>
      <c r="D213" s="335"/>
      <c r="E213" s="335"/>
      <c r="F213" s="335"/>
      <c r="G213" s="335"/>
      <c r="H213" s="335"/>
      <c r="I213" s="335"/>
      <c r="J213" s="90"/>
      <c r="K213" s="90" t="s">
        <v>107165</v>
      </c>
      <c r="L213" s="91" t="s">
        <v>113115</v>
      </c>
      <c r="M213" s="92" t="s">
        <v>113380</v>
      </c>
      <c r="N213" s="93">
        <v>45347</v>
      </c>
      <c r="O213" s="93" t="s">
        <v>113001</v>
      </c>
      <c r="P213" s="94" t="s">
        <v>113004</v>
      </c>
      <c r="Q213" s="94" t="s">
        <v>113053</v>
      </c>
      <c r="R213" s="95">
        <v>50000000</v>
      </c>
      <c r="S213" s="97"/>
      <c r="T213" s="98" t="s">
        <v>113012</v>
      </c>
    </row>
    <row r="214" spans="2:20" ht="30" x14ac:dyDescent="0.25">
      <c r="B214" s="88"/>
      <c r="C214" s="335"/>
      <c r="D214" s="335"/>
      <c r="E214" s="335"/>
      <c r="F214" s="335"/>
      <c r="G214" s="335"/>
      <c r="H214" s="335"/>
      <c r="I214" s="335"/>
      <c r="J214" s="90"/>
      <c r="K214" s="90" t="s">
        <v>107165</v>
      </c>
      <c r="L214" s="55"/>
      <c r="M214" s="92" t="s">
        <v>113117</v>
      </c>
      <c r="N214" s="93">
        <v>45321</v>
      </c>
      <c r="O214" s="94" t="s">
        <v>113031</v>
      </c>
      <c r="P214" s="94" t="s">
        <v>113031</v>
      </c>
      <c r="Q214" s="94" t="s">
        <v>113031</v>
      </c>
      <c r="R214" s="95">
        <f>20000000+20000000</f>
        <v>40000000</v>
      </c>
      <c r="S214" s="97"/>
      <c r="T214" s="98" t="s">
        <v>113012</v>
      </c>
    </row>
    <row r="215" spans="2:20" ht="30" x14ac:dyDescent="0.25">
      <c r="B215" s="334" t="s">
        <v>105516</v>
      </c>
      <c r="C215" s="334" t="s">
        <v>105573</v>
      </c>
      <c r="D215" s="334" t="s">
        <v>105573</v>
      </c>
      <c r="E215" s="334" t="s">
        <v>105573</v>
      </c>
      <c r="F215" s="334" t="s">
        <v>105556</v>
      </c>
      <c r="G215" s="334" t="s">
        <v>105538</v>
      </c>
      <c r="H215" s="72"/>
      <c r="I215" s="72"/>
      <c r="J215" s="72"/>
      <c r="K215" s="73"/>
      <c r="L215" s="73"/>
      <c r="M215" s="305" t="s">
        <v>107180</v>
      </c>
      <c r="N215" s="75"/>
      <c r="O215" s="75"/>
      <c r="P215" s="76"/>
      <c r="Q215" s="76"/>
      <c r="R215" s="77">
        <f>+R216</f>
        <v>25286000</v>
      </c>
      <c r="S215" s="78"/>
      <c r="T215" s="79"/>
    </row>
    <row r="216" spans="2:20" x14ac:dyDescent="0.25">
      <c r="B216" s="80" t="s">
        <v>105516</v>
      </c>
      <c r="C216" s="80" t="s">
        <v>105573</v>
      </c>
      <c r="D216" s="80" t="s">
        <v>105573</v>
      </c>
      <c r="E216" s="80" t="s">
        <v>105573</v>
      </c>
      <c r="F216" s="80" t="s">
        <v>105556</v>
      </c>
      <c r="G216" s="80" t="s">
        <v>105538</v>
      </c>
      <c r="H216" s="80" t="s">
        <v>105520</v>
      </c>
      <c r="I216" s="80"/>
      <c r="J216" s="80"/>
      <c r="K216" s="80"/>
      <c r="L216" s="80"/>
      <c r="M216" s="304" t="s">
        <v>107182</v>
      </c>
      <c r="N216" s="83"/>
      <c r="O216" s="83"/>
      <c r="P216" s="84"/>
      <c r="Q216" s="84"/>
      <c r="R216" s="85">
        <f>+R217</f>
        <v>25286000</v>
      </c>
      <c r="S216" s="86"/>
      <c r="T216" s="101"/>
    </row>
    <row r="217" spans="2:20" ht="44.25" customHeight="1" x14ac:dyDescent="0.25">
      <c r="B217" s="88"/>
      <c r="C217" s="335"/>
      <c r="D217" s="335"/>
      <c r="E217" s="335"/>
      <c r="F217" s="335"/>
      <c r="G217" s="335"/>
      <c r="H217" s="335"/>
      <c r="I217" s="335"/>
      <c r="J217" s="90"/>
      <c r="K217" s="90" t="s">
        <v>107179</v>
      </c>
      <c r="L217" s="91" t="s">
        <v>113279</v>
      </c>
      <c r="M217" s="92" t="s">
        <v>113118</v>
      </c>
      <c r="N217" s="93">
        <v>45337</v>
      </c>
      <c r="O217" s="93" t="s">
        <v>113037</v>
      </c>
      <c r="P217" s="94" t="s">
        <v>113004</v>
      </c>
      <c r="Q217" s="132" t="s">
        <v>113113</v>
      </c>
      <c r="R217" s="95">
        <f>35000000-9714000</f>
        <v>25286000</v>
      </c>
      <c r="S217" s="97"/>
      <c r="T217" s="98" t="s">
        <v>113019</v>
      </c>
    </row>
    <row r="218" spans="2:20" ht="45" x14ac:dyDescent="0.25">
      <c r="B218" s="334" t="s">
        <v>105516</v>
      </c>
      <c r="C218" s="334" t="s">
        <v>105573</v>
      </c>
      <c r="D218" s="334" t="s">
        <v>105573</v>
      </c>
      <c r="E218" s="334" t="s">
        <v>105573</v>
      </c>
      <c r="F218" s="334" t="s">
        <v>105556</v>
      </c>
      <c r="G218" s="334" t="s">
        <v>105541</v>
      </c>
      <c r="H218" s="72"/>
      <c r="I218" s="72"/>
      <c r="J218" s="72"/>
      <c r="K218" s="73"/>
      <c r="L218" s="73"/>
      <c r="M218" s="305" t="s">
        <v>107192</v>
      </c>
      <c r="N218" s="75"/>
      <c r="O218" s="75"/>
      <c r="P218" s="76"/>
      <c r="Q218" s="76"/>
      <c r="R218" s="77">
        <f>+R219</f>
        <v>251000000</v>
      </c>
      <c r="S218" s="78"/>
      <c r="T218" s="79"/>
    </row>
    <row r="219" spans="2:20" ht="36.75" customHeight="1" x14ac:dyDescent="0.25">
      <c r="B219" s="80" t="s">
        <v>105516</v>
      </c>
      <c r="C219" s="80" t="s">
        <v>105573</v>
      </c>
      <c r="D219" s="80" t="s">
        <v>105573</v>
      </c>
      <c r="E219" s="80" t="s">
        <v>105573</v>
      </c>
      <c r="F219" s="80" t="s">
        <v>105556</v>
      </c>
      <c r="G219" s="80" t="s">
        <v>105541</v>
      </c>
      <c r="H219" s="80" t="s">
        <v>105520</v>
      </c>
      <c r="I219" s="80"/>
      <c r="J219" s="80"/>
      <c r="K219" s="80"/>
      <c r="L219" s="80"/>
      <c r="M219" s="304" t="s">
        <v>107194</v>
      </c>
      <c r="N219" s="110"/>
      <c r="O219" s="110"/>
      <c r="P219" s="84"/>
      <c r="Q219" s="84"/>
      <c r="R219" s="112">
        <f>SUM(R220+R221)</f>
        <v>251000000</v>
      </c>
      <c r="S219" s="113"/>
      <c r="T219" s="101"/>
    </row>
    <row r="220" spans="2:20" x14ac:dyDescent="0.25">
      <c r="B220" s="88"/>
      <c r="C220" s="335"/>
      <c r="D220" s="335"/>
      <c r="E220" s="335"/>
      <c r="F220" s="335"/>
      <c r="G220" s="335"/>
      <c r="H220" s="335"/>
      <c r="I220" s="335"/>
      <c r="J220" s="90"/>
      <c r="K220" s="90" t="s">
        <v>107191</v>
      </c>
      <c r="L220" s="91"/>
      <c r="M220" s="102" t="s">
        <v>113121</v>
      </c>
      <c r="N220" s="93">
        <v>45293</v>
      </c>
      <c r="O220" s="93" t="s">
        <v>113060</v>
      </c>
      <c r="P220" s="94" t="s">
        <v>113068</v>
      </c>
      <c r="Q220" s="94"/>
      <c r="R220" s="95">
        <v>231000000</v>
      </c>
      <c r="S220" s="129"/>
      <c r="T220" s="92" t="s">
        <v>113064</v>
      </c>
    </row>
    <row r="221" spans="2:20" ht="45" x14ac:dyDescent="0.25">
      <c r="B221" s="88"/>
      <c r="C221" s="335"/>
      <c r="D221" s="335"/>
      <c r="E221" s="335"/>
      <c r="F221" s="335"/>
      <c r="G221" s="335"/>
      <c r="H221" s="335"/>
      <c r="I221" s="335"/>
      <c r="J221" s="90"/>
      <c r="K221" s="90" t="s">
        <v>107191</v>
      </c>
      <c r="L221" s="91" t="s">
        <v>113119</v>
      </c>
      <c r="M221" s="102" t="s">
        <v>113120</v>
      </c>
      <c r="N221" s="93">
        <v>45350</v>
      </c>
      <c r="O221" s="93" t="s">
        <v>113037</v>
      </c>
      <c r="P221" s="132" t="s">
        <v>113004</v>
      </c>
      <c r="Q221" s="94" t="s">
        <v>113052</v>
      </c>
      <c r="R221" s="95">
        <v>20000000</v>
      </c>
      <c r="S221" s="129"/>
      <c r="T221" s="92" t="s">
        <v>113000</v>
      </c>
    </row>
    <row r="222" spans="2:20" x14ac:dyDescent="0.25">
      <c r="B222" s="334" t="s">
        <v>105516</v>
      </c>
      <c r="C222" s="334" t="s">
        <v>105573</v>
      </c>
      <c r="D222" s="334" t="s">
        <v>105573</v>
      </c>
      <c r="E222" s="334" t="s">
        <v>105573</v>
      </c>
      <c r="F222" s="334" t="s">
        <v>105556</v>
      </c>
      <c r="G222" s="334" t="s">
        <v>105547</v>
      </c>
      <c r="H222" s="72"/>
      <c r="I222" s="72"/>
      <c r="J222" s="72"/>
      <c r="K222" s="73"/>
      <c r="L222" s="73"/>
      <c r="M222" s="305" t="s">
        <v>113231</v>
      </c>
      <c r="N222" s="75"/>
      <c r="O222" s="75"/>
      <c r="P222" s="76"/>
      <c r="Q222" s="76"/>
      <c r="R222" s="77">
        <f>+R223</f>
        <v>50000000</v>
      </c>
      <c r="S222" s="78"/>
      <c r="T222" s="79"/>
    </row>
    <row r="223" spans="2:20" x14ac:dyDescent="0.25">
      <c r="B223" s="80" t="s">
        <v>105516</v>
      </c>
      <c r="C223" s="80" t="s">
        <v>105573</v>
      </c>
      <c r="D223" s="80" t="s">
        <v>105573</v>
      </c>
      <c r="E223" s="80" t="s">
        <v>105573</v>
      </c>
      <c r="F223" s="80" t="s">
        <v>105556</v>
      </c>
      <c r="G223" s="80" t="s">
        <v>105547</v>
      </c>
      <c r="H223" s="80" t="s">
        <v>106109</v>
      </c>
      <c r="I223" s="80"/>
      <c r="J223" s="80"/>
      <c r="K223" s="80"/>
      <c r="L223" s="80"/>
      <c r="M223" s="304" t="s">
        <v>107228</v>
      </c>
      <c r="N223" s="83"/>
      <c r="O223" s="83"/>
      <c r="P223" s="84"/>
      <c r="Q223" s="84"/>
      <c r="R223" s="85">
        <f>+R224</f>
        <v>50000000</v>
      </c>
      <c r="S223" s="86"/>
      <c r="T223" s="101"/>
    </row>
    <row r="224" spans="2:20" ht="75" x14ac:dyDescent="0.25">
      <c r="B224" s="88"/>
      <c r="C224" s="335"/>
      <c r="D224" s="335"/>
      <c r="E224" s="335"/>
      <c r="F224" s="335"/>
      <c r="G224" s="335"/>
      <c r="H224" s="335"/>
      <c r="I224" s="335"/>
      <c r="J224" s="90"/>
      <c r="K224" s="90" t="s">
        <v>107213</v>
      </c>
      <c r="L224" s="55">
        <v>93141500</v>
      </c>
      <c r="M224" s="92" t="s">
        <v>113381</v>
      </c>
      <c r="N224" s="93">
        <v>45580</v>
      </c>
      <c r="O224" s="93" t="s">
        <v>113070</v>
      </c>
      <c r="P224" s="94" t="s">
        <v>113045</v>
      </c>
      <c r="Q224" s="94" t="s">
        <v>113095</v>
      </c>
      <c r="R224" s="99">
        <v>50000000</v>
      </c>
      <c r="S224" s="97"/>
      <c r="T224" s="98" t="s">
        <v>113012</v>
      </c>
    </row>
    <row r="225" spans="2:20" x14ac:dyDescent="0.25">
      <c r="B225" s="334" t="s">
        <v>105516</v>
      </c>
      <c r="C225" s="334" t="s">
        <v>105573</v>
      </c>
      <c r="D225" s="334" t="s">
        <v>105573</v>
      </c>
      <c r="E225" s="334" t="s">
        <v>105573</v>
      </c>
      <c r="F225" s="334" t="s">
        <v>105559</v>
      </c>
      <c r="G225" s="72"/>
      <c r="H225" s="72"/>
      <c r="I225" s="72"/>
      <c r="J225" s="72"/>
      <c r="K225" s="73"/>
      <c r="L225" s="73"/>
      <c r="M225" s="305" t="s">
        <v>105564</v>
      </c>
      <c r="N225" s="75"/>
      <c r="O225" s="75"/>
      <c r="P225" s="76"/>
      <c r="Q225" s="76"/>
      <c r="R225" s="77">
        <f>+R226</f>
        <v>69000000</v>
      </c>
      <c r="S225" s="78"/>
      <c r="T225" s="79"/>
    </row>
    <row r="226" spans="2:20" x14ac:dyDescent="0.25">
      <c r="B226" s="88"/>
      <c r="C226" s="335"/>
      <c r="D226" s="335"/>
      <c r="E226" s="335"/>
      <c r="F226" s="335"/>
      <c r="G226" s="335"/>
      <c r="H226" s="335"/>
      <c r="I226" s="335"/>
      <c r="J226" s="90"/>
      <c r="K226" s="90" t="s">
        <v>107241</v>
      </c>
      <c r="L226" s="55"/>
      <c r="M226" s="102" t="s">
        <v>105564</v>
      </c>
      <c r="N226" s="93" t="s">
        <v>113031</v>
      </c>
      <c r="O226" s="93" t="s">
        <v>113031</v>
      </c>
      <c r="P226" s="94" t="s">
        <v>113031</v>
      </c>
      <c r="Q226" s="94" t="s">
        <v>113031</v>
      </c>
      <c r="R226" s="99">
        <f>50000000+19000000</f>
        <v>69000000</v>
      </c>
      <c r="S226" s="97"/>
      <c r="T226" s="98" t="s">
        <v>113012</v>
      </c>
    </row>
    <row r="227" spans="2:20" x14ac:dyDescent="0.25">
      <c r="B227" s="145" t="s">
        <v>105516</v>
      </c>
      <c r="C227" s="145" t="s">
        <v>105924</v>
      </c>
      <c r="D227" s="145"/>
      <c r="E227" s="145"/>
      <c r="F227" s="145"/>
      <c r="G227" s="145"/>
      <c r="H227" s="145"/>
      <c r="I227" s="145"/>
      <c r="J227" s="145"/>
      <c r="K227" s="146"/>
      <c r="L227" s="146"/>
      <c r="M227" s="349" t="s">
        <v>112080</v>
      </c>
      <c r="N227" s="148"/>
      <c r="O227" s="148"/>
      <c r="P227" s="149"/>
      <c r="Q227" s="149"/>
      <c r="R227" s="150">
        <f>+R228</f>
        <v>13096000000</v>
      </c>
      <c r="S227" s="150"/>
      <c r="T227" s="150"/>
    </row>
    <row r="228" spans="2:20" x14ac:dyDescent="0.25">
      <c r="B228" s="153" t="s">
        <v>105516</v>
      </c>
      <c r="C228" s="153" t="s">
        <v>105924</v>
      </c>
      <c r="D228" s="153" t="s">
        <v>105520</v>
      </c>
      <c r="E228" s="153"/>
      <c r="F228" s="153"/>
      <c r="G228" s="153"/>
      <c r="H228" s="153"/>
      <c r="I228" s="153"/>
      <c r="J228" s="153"/>
      <c r="K228" s="154"/>
      <c r="L228" s="155"/>
      <c r="M228" s="350" t="s">
        <v>112080</v>
      </c>
      <c r="N228" s="157"/>
      <c r="O228" s="157"/>
      <c r="P228" s="158"/>
      <c r="Q228" s="158"/>
      <c r="R228" s="159">
        <f>+R229+R256</f>
        <v>13096000000</v>
      </c>
      <c r="S228" s="159"/>
      <c r="T228" s="159"/>
    </row>
    <row r="229" spans="2:20" x14ac:dyDescent="0.25">
      <c r="B229" s="162" t="s">
        <v>105516</v>
      </c>
      <c r="C229" s="162" t="s">
        <v>105924</v>
      </c>
      <c r="D229" s="162" t="s">
        <v>105520</v>
      </c>
      <c r="E229" s="162" t="s">
        <v>105520</v>
      </c>
      <c r="F229" s="162"/>
      <c r="G229" s="162"/>
      <c r="H229" s="162"/>
      <c r="I229" s="162"/>
      <c r="J229" s="162"/>
      <c r="K229" s="163"/>
      <c r="L229" s="163"/>
      <c r="M229" s="351" t="s">
        <v>106437</v>
      </c>
      <c r="N229" s="165"/>
      <c r="O229" s="165"/>
      <c r="P229" s="166"/>
      <c r="Q229" s="166"/>
      <c r="R229" s="167">
        <f>+R230+R250</f>
        <v>992760000</v>
      </c>
      <c r="S229" s="167"/>
      <c r="T229" s="167"/>
    </row>
    <row r="230" spans="2:20" ht="30" x14ac:dyDescent="0.25">
      <c r="B230" s="63" t="s">
        <v>105516</v>
      </c>
      <c r="C230" s="63" t="s">
        <v>105924</v>
      </c>
      <c r="D230" s="63" t="s">
        <v>105520</v>
      </c>
      <c r="E230" s="63" t="s">
        <v>105520</v>
      </c>
      <c r="F230" s="63" t="s">
        <v>105538</v>
      </c>
      <c r="G230" s="63"/>
      <c r="H230" s="63"/>
      <c r="I230" s="63"/>
      <c r="J230" s="63"/>
      <c r="K230" s="64"/>
      <c r="L230" s="65"/>
      <c r="M230" s="306" t="s">
        <v>106589</v>
      </c>
      <c r="N230" s="67"/>
      <c r="O230" s="67"/>
      <c r="P230" s="68"/>
      <c r="Q230" s="68"/>
      <c r="R230" s="69">
        <f>+R231+R234+R237+R241+R247</f>
        <v>707161340.20000005</v>
      </c>
      <c r="S230" s="70"/>
      <c r="T230" s="71"/>
    </row>
    <row r="231" spans="2:20" ht="30" x14ac:dyDescent="0.25">
      <c r="B231" s="334" t="s">
        <v>105516</v>
      </c>
      <c r="C231" s="334" t="s">
        <v>105924</v>
      </c>
      <c r="D231" s="334" t="s">
        <v>105520</v>
      </c>
      <c r="E231" s="334" t="s">
        <v>105520</v>
      </c>
      <c r="F231" s="334" t="s">
        <v>105538</v>
      </c>
      <c r="G231" s="334" t="s">
        <v>105535</v>
      </c>
      <c r="H231" s="170"/>
      <c r="I231" s="170"/>
      <c r="J231" s="170"/>
      <c r="K231" s="171"/>
      <c r="L231" s="171"/>
      <c r="M231" s="307" t="s">
        <v>113232</v>
      </c>
      <c r="N231" s="173"/>
      <c r="O231" s="173"/>
      <c r="P231" s="174"/>
      <c r="Q231" s="174"/>
      <c r="R231" s="175">
        <f>+R232</f>
        <v>25000000</v>
      </c>
      <c r="S231" s="175"/>
      <c r="T231" s="175"/>
    </row>
    <row r="232" spans="2:20" x14ac:dyDescent="0.25">
      <c r="B232" s="80" t="s">
        <v>105516</v>
      </c>
      <c r="C232" s="80" t="s">
        <v>105924</v>
      </c>
      <c r="D232" s="80" t="s">
        <v>105520</v>
      </c>
      <c r="E232" s="80" t="s">
        <v>105520</v>
      </c>
      <c r="F232" s="81" t="s">
        <v>105538</v>
      </c>
      <c r="G232" s="81" t="s">
        <v>105535</v>
      </c>
      <c r="H232" s="81" t="s">
        <v>105520</v>
      </c>
      <c r="I232" s="80"/>
      <c r="J232" s="80"/>
      <c r="K232" s="80"/>
      <c r="L232" s="80"/>
      <c r="M232" s="304" t="s">
        <v>106595</v>
      </c>
      <c r="N232" s="83"/>
      <c r="O232" s="83"/>
      <c r="P232" s="84"/>
      <c r="Q232" s="84"/>
      <c r="R232" s="85">
        <f>+R233</f>
        <v>25000000</v>
      </c>
      <c r="S232" s="86"/>
      <c r="T232" s="101"/>
    </row>
    <row r="233" spans="2:20" ht="52.5" customHeight="1" x14ac:dyDescent="0.25">
      <c r="B233" s="88"/>
      <c r="C233" s="335"/>
      <c r="D233" s="335"/>
      <c r="E233" s="335"/>
      <c r="F233" s="335"/>
      <c r="G233" s="335"/>
      <c r="H233" s="335"/>
      <c r="I233" s="335"/>
      <c r="J233" s="90"/>
      <c r="K233" s="90" t="s">
        <v>112177</v>
      </c>
      <c r="L233" s="91" t="s">
        <v>113026</v>
      </c>
      <c r="M233" s="92" t="s">
        <v>113027</v>
      </c>
      <c r="N233" s="93">
        <v>45381</v>
      </c>
      <c r="O233" s="93" t="s">
        <v>113006</v>
      </c>
      <c r="P233" s="94" t="s">
        <v>113028</v>
      </c>
      <c r="Q233" s="94" t="s">
        <v>113008</v>
      </c>
      <c r="R233" s="95">
        <v>25000000</v>
      </c>
      <c r="S233" s="129"/>
      <c r="T233" s="98" t="s">
        <v>113029</v>
      </c>
    </row>
    <row r="234" spans="2:20" ht="30" x14ac:dyDescent="0.25">
      <c r="B234" s="334" t="s">
        <v>105516</v>
      </c>
      <c r="C234" s="334" t="s">
        <v>105924</v>
      </c>
      <c r="D234" s="334" t="s">
        <v>105520</v>
      </c>
      <c r="E234" s="334" t="s">
        <v>105520</v>
      </c>
      <c r="F234" s="334" t="s">
        <v>105538</v>
      </c>
      <c r="G234" s="334" t="s">
        <v>105538</v>
      </c>
      <c r="H234" s="170"/>
      <c r="I234" s="170"/>
      <c r="J234" s="170"/>
      <c r="K234" s="171"/>
      <c r="L234" s="171"/>
      <c r="M234" s="307" t="s">
        <v>106611</v>
      </c>
      <c r="N234" s="173"/>
      <c r="O234" s="173"/>
      <c r="P234" s="174"/>
      <c r="Q234" s="174"/>
      <c r="R234" s="175">
        <f>+R235</f>
        <v>150000000</v>
      </c>
      <c r="S234" s="175"/>
      <c r="T234" s="175"/>
    </row>
    <row r="235" spans="2:20" ht="60" x14ac:dyDescent="0.25">
      <c r="B235" s="80" t="s">
        <v>105516</v>
      </c>
      <c r="C235" s="80" t="s">
        <v>105924</v>
      </c>
      <c r="D235" s="80" t="s">
        <v>105520</v>
      </c>
      <c r="E235" s="80" t="s">
        <v>105520</v>
      </c>
      <c r="F235" s="81" t="s">
        <v>105538</v>
      </c>
      <c r="G235" s="81" t="s">
        <v>105538</v>
      </c>
      <c r="H235" s="81" t="s">
        <v>105675</v>
      </c>
      <c r="I235" s="80"/>
      <c r="J235" s="80"/>
      <c r="K235" s="80"/>
      <c r="L235" s="80"/>
      <c r="M235" s="304" t="s">
        <v>106617</v>
      </c>
      <c r="N235" s="83"/>
      <c r="O235" s="83"/>
      <c r="P235" s="84"/>
      <c r="Q235" s="84"/>
      <c r="R235" s="85">
        <f>+R236</f>
        <v>150000000</v>
      </c>
      <c r="S235" s="86"/>
      <c r="T235" s="101"/>
    </row>
    <row r="236" spans="2:20" ht="60" x14ac:dyDescent="0.25">
      <c r="B236" s="88"/>
      <c r="C236" s="335"/>
      <c r="D236" s="335"/>
      <c r="E236" s="335"/>
      <c r="F236" s="335"/>
      <c r="G236" s="335"/>
      <c r="H236" s="335"/>
      <c r="I236" s="335"/>
      <c r="J236" s="335"/>
      <c r="K236" s="90" t="s">
        <v>112186</v>
      </c>
      <c r="L236" s="178">
        <v>15101500</v>
      </c>
      <c r="M236" s="102" t="s">
        <v>113124</v>
      </c>
      <c r="N236" s="93">
        <v>45324</v>
      </c>
      <c r="O236" s="93" t="s">
        <v>113001</v>
      </c>
      <c r="P236" s="94" t="s">
        <v>113004</v>
      </c>
      <c r="Q236" s="94" t="s">
        <v>113038</v>
      </c>
      <c r="R236" s="95">
        <v>150000000</v>
      </c>
      <c r="S236" s="129"/>
      <c r="T236" s="98" t="s">
        <v>113000</v>
      </c>
    </row>
    <row r="237" spans="2:20" ht="34.5" customHeight="1" x14ac:dyDescent="0.25">
      <c r="B237" s="334" t="s">
        <v>105516</v>
      </c>
      <c r="C237" s="334" t="s">
        <v>105924</v>
      </c>
      <c r="D237" s="334" t="s">
        <v>105520</v>
      </c>
      <c r="E237" s="334" t="s">
        <v>105520</v>
      </c>
      <c r="F237" s="334" t="s">
        <v>105538</v>
      </c>
      <c r="G237" s="352" t="s">
        <v>105544</v>
      </c>
      <c r="H237" s="170"/>
      <c r="I237" s="170"/>
      <c r="J237" s="170"/>
      <c r="K237" s="171"/>
      <c r="L237" s="171"/>
      <c r="M237" s="307" t="s">
        <v>106645</v>
      </c>
      <c r="N237" s="173"/>
      <c r="O237" s="173"/>
      <c r="P237" s="174"/>
      <c r="Q237" s="174"/>
      <c r="R237" s="175">
        <f>+R238</f>
        <v>45000000</v>
      </c>
      <c r="S237" s="175"/>
      <c r="T237" s="175"/>
    </row>
    <row r="238" spans="2:20" x14ac:dyDescent="0.25">
      <c r="B238" s="80" t="s">
        <v>105516</v>
      </c>
      <c r="C238" s="80" t="s">
        <v>105924</v>
      </c>
      <c r="D238" s="80" t="s">
        <v>105520</v>
      </c>
      <c r="E238" s="80" t="s">
        <v>105520</v>
      </c>
      <c r="F238" s="80" t="s">
        <v>105538</v>
      </c>
      <c r="G238" s="80" t="s">
        <v>105544</v>
      </c>
      <c r="H238" s="180" t="s">
        <v>105573</v>
      </c>
      <c r="I238" s="80"/>
      <c r="J238" s="80"/>
      <c r="K238" s="80"/>
      <c r="L238" s="80"/>
      <c r="M238" s="303" t="s">
        <v>106649</v>
      </c>
      <c r="N238" s="83"/>
      <c r="O238" s="83"/>
      <c r="P238" s="84"/>
      <c r="Q238" s="84"/>
      <c r="R238" s="85">
        <f>SUM(R239:R240)</f>
        <v>45000000</v>
      </c>
      <c r="S238" s="86"/>
      <c r="T238" s="101"/>
    </row>
    <row r="239" spans="2:20" ht="43.5" customHeight="1" x14ac:dyDescent="0.25">
      <c r="B239" s="138"/>
      <c r="C239" s="347"/>
      <c r="D239" s="347"/>
      <c r="E239" s="347"/>
      <c r="F239" s="347"/>
      <c r="G239" s="347"/>
      <c r="H239" s="347"/>
      <c r="I239" s="347"/>
      <c r="J239" s="140"/>
      <c r="K239" s="90" t="s">
        <v>112204</v>
      </c>
      <c r="L239" s="91" t="s">
        <v>113280</v>
      </c>
      <c r="M239" s="102" t="s">
        <v>113125</v>
      </c>
      <c r="N239" s="93">
        <v>45427</v>
      </c>
      <c r="O239" s="93" t="s">
        <v>113087</v>
      </c>
      <c r="P239" s="94" t="s">
        <v>113155</v>
      </c>
      <c r="Q239" s="94" t="s">
        <v>113038</v>
      </c>
      <c r="R239" s="95">
        <v>20000000</v>
      </c>
      <c r="S239" s="97"/>
      <c r="T239" s="98" t="s">
        <v>113019</v>
      </c>
    </row>
    <row r="240" spans="2:20" ht="30.75" customHeight="1" x14ac:dyDescent="0.25">
      <c r="B240" s="138"/>
      <c r="C240" s="347"/>
      <c r="D240" s="347"/>
      <c r="E240" s="347"/>
      <c r="F240" s="347"/>
      <c r="G240" s="347"/>
      <c r="H240" s="347"/>
      <c r="I240" s="347"/>
      <c r="J240" s="140"/>
      <c r="K240" s="90" t="s">
        <v>112204</v>
      </c>
      <c r="L240" s="91">
        <v>44103100</v>
      </c>
      <c r="M240" s="102" t="s">
        <v>113039</v>
      </c>
      <c r="N240" s="93">
        <v>45352</v>
      </c>
      <c r="O240" s="93" t="s">
        <v>113006</v>
      </c>
      <c r="P240" s="94" t="s">
        <v>113040</v>
      </c>
      <c r="Q240" s="94" t="s">
        <v>113281</v>
      </c>
      <c r="R240" s="95">
        <v>25000000</v>
      </c>
      <c r="S240" s="97"/>
      <c r="T240" s="98" t="s">
        <v>113029</v>
      </c>
    </row>
    <row r="241" spans="1:20" x14ac:dyDescent="0.25">
      <c r="B241" s="334" t="s">
        <v>105516</v>
      </c>
      <c r="C241" s="334" t="s">
        <v>105924</v>
      </c>
      <c r="D241" s="334" t="s">
        <v>105520</v>
      </c>
      <c r="E241" s="334" t="s">
        <v>105520</v>
      </c>
      <c r="F241" s="334" t="s">
        <v>105538</v>
      </c>
      <c r="G241" s="352" t="s">
        <v>105547</v>
      </c>
      <c r="H241" s="170"/>
      <c r="I241" s="170"/>
      <c r="J241" s="170"/>
      <c r="K241" s="171"/>
      <c r="L241" s="171"/>
      <c r="M241" s="307" t="s">
        <v>106657</v>
      </c>
      <c r="N241" s="173"/>
      <c r="O241" s="173"/>
      <c r="P241" s="174"/>
      <c r="Q241" s="174"/>
      <c r="R241" s="175">
        <f>+R242+R245</f>
        <v>287161340.19999999</v>
      </c>
      <c r="S241" s="175"/>
      <c r="T241" s="175"/>
    </row>
    <row r="242" spans="1:20" x14ac:dyDescent="0.25">
      <c r="B242" s="80" t="s">
        <v>105516</v>
      </c>
      <c r="C242" s="80" t="s">
        <v>105924</v>
      </c>
      <c r="D242" s="80" t="s">
        <v>105520</v>
      </c>
      <c r="E242" s="80" t="s">
        <v>105520</v>
      </c>
      <c r="F242" s="80" t="s">
        <v>105538</v>
      </c>
      <c r="G242" s="180" t="s">
        <v>105547</v>
      </c>
      <c r="H242" s="180" t="s">
        <v>105675</v>
      </c>
      <c r="I242" s="80"/>
      <c r="J242" s="80"/>
      <c r="K242" s="80"/>
      <c r="L242" s="80"/>
      <c r="M242" s="304" t="s">
        <v>106663</v>
      </c>
      <c r="N242" s="83"/>
      <c r="O242" s="83"/>
      <c r="P242" s="84"/>
      <c r="Q242" s="84"/>
      <c r="R242" s="85">
        <f>SUM(R243:R244)</f>
        <v>87161340.200000003</v>
      </c>
      <c r="S242" s="86"/>
      <c r="T242" s="101"/>
    </row>
    <row r="243" spans="1:20" ht="95.25" customHeight="1" x14ac:dyDescent="0.25">
      <c r="B243" s="88"/>
      <c r="C243" s="335"/>
      <c r="D243" s="335"/>
      <c r="E243" s="335"/>
      <c r="F243" s="335"/>
      <c r="G243" s="335"/>
      <c r="H243" s="335"/>
      <c r="I243" s="335"/>
      <c r="J243" s="90"/>
      <c r="K243" s="90" t="s">
        <v>112210</v>
      </c>
      <c r="L243" s="91" t="s">
        <v>113282</v>
      </c>
      <c r="M243" s="102" t="s">
        <v>113127</v>
      </c>
      <c r="N243" s="93">
        <v>45536</v>
      </c>
      <c r="O243" s="93" t="s">
        <v>113078</v>
      </c>
      <c r="P243" s="94" t="s">
        <v>113007</v>
      </c>
      <c r="Q243" s="94" t="s">
        <v>113008</v>
      </c>
      <c r="R243" s="95">
        <f>40000000+12161340.2</f>
        <v>52161340.200000003</v>
      </c>
      <c r="S243" s="97"/>
      <c r="T243" s="98" t="s">
        <v>113019</v>
      </c>
    </row>
    <row r="244" spans="1:20" ht="150" x14ac:dyDescent="0.25">
      <c r="B244" s="138"/>
      <c r="C244" s="347"/>
      <c r="D244" s="347"/>
      <c r="E244" s="347"/>
      <c r="F244" s="347"/>
      <c r="G244" s="347"/>
      <c r="H244" s="347"/>
      <c r="I244" s="347"/>
      <c r="J244" s="140"/>
      <c r="K244" s="90" t="s">
        <v>112210</v>
      </c>
      <c r="L244" s="181" t="s">
        <v>113382</v>
      </c>
      <c r="M244" s="102" t="s">
        <v>113126</v>
      </c>
      <c r="N244" s="93">
        <v>45536</v>
      </c>
      <c r="O244" s="93" t="s">
        <v>113078</v>
      </c>
      <c r="P244" s="94" t="s">
        <v>112998</v>
      </c>
      <c r="Q244" s="94" t="s">
        <v>113052</v>
      </c>
      <c r="R244" s="95">
        <v>35000000</v>
      </c>
      <c r="S244" s="97"/>
      <c r="T244" s="98" t="s">
        <v>113019</v>
      </c>
    </row>
    <row r="245" spans="1:20" x14ac:dyDescent="0.25">
      <c r="B245" s="80" t="s">
        <v>105516</v>
      </c>
      <c r="C245" s="80" t="s">
        <v>105924</v>
      </c>
      <c r="D245" s="80" t="s">
        <v>105520</v>
      </c>
      <c r="E245" s="80" t="s">
        <v>105520</v>
      </c>
      <c r="F245" s="80" t="s">
        <v>105538</v>
      </c>
      <c r="G245" s="180" t="s">
        <v>105547</v>
      </c>
      <c r="H245" s="180" t="s">
        <v>106109</v>
      </c>
      <c r="I245" s="80"/>
      <c r="J245" s="80"/>
      <c r="K245" s="80"/>
      <c r="L245" s="80"/>
      <c r="M245" s="303" t="s">
        <v>106667</v>
      </c>
      <c r="N245" s="83"/>
      <c r="O245" s="83"/>
      <c r="P245" s="84"/>
      <c r="Q245" s="84"/>
      <c r="R245" s="85">
        <f>+R246</f>
        <v>200000000</v>
      </c>
      <c r="S245" s="86"/>
      <c r="T245" s="101"/>
    </row>
    <row r="246" spans="1:20" ht="45" x14ac:dyDescent="0.25">
      <c r="B246" s="138"/>
      <c r="C246" s="347"/>
      <c r="D246" s="347"/>
      <c r="E246" s="347"/>
      <c r="F246" s="347"/>
      <c r="G246" s="347"/>
      <c r="H246" s="347"/>
      <c r="I246" s="347"/>
      <c r="J246" s="140"/>
      <c r="K246" s="90" t="s">
        <v>112210</v>
      </c>
      <c r="L246" s="119" t="s">
        <v>113284</v>
      </c>
      <c r="M246" s="120" t="s">
        <v>113128</v>
      </c>
      <c r="N246" s="121">
        <v>45393</v>
      </c>
      <c r="O246" s="93" t="s">
        <v>113006</v>
      </c>
      <c r="P246" s="94" t="s">
        <v>113155</v>
      </c>
      <c r="Q246" s="132" t="s">
        <v>113096</v>
      </c>
      <c r="R246" s="95">
        <v>200000000</v>
      </c>
      <c r="S246" s="97"/>
      <c r="T246" s="98" t="s">
        <v>113019</v>
      </c>
    </row>
    <row r="247" spans="1:20" ht="30" x14ac:dyDescent="0.25">
      <c r="B247" s="334" t="s">
        <v>105516</v>
      </c>
      <c r="C247" s="334" t="s">
        <v>105924</v>
      </c>
      <c r="D247" s="334" t="s">
        <v>105520</v>
      </c>
      <c r="E247" s="334" t="s">
        <v>105520</v>
      </c>
      <c r="F247" s="334" t="s">
        <v>105538</v>
      </c>
      <c r="G247" s="334" t="s">
        <v>105550</v>
      </c>
      <c r="H247" s="170"/>
      <c r="I247" s="170"/>
      <c r="J247" s="170"/>
      <c r="K247" s="171"/>
      <c r="L247" s="171"/>
      <c r="M247" s="307" t="s">
        <v>106669</v>
      </c>
      <c r="N247" s="173"/>
      <c r="O247" s="173"/>
      <c r="P247" s="174"/>
      <c r="Q247" s="174"/>
      <c r="R247" s="175">
        <f>+R248</f>
        <v>200000000</v>
      </c>
      <c r="S247" s="175"/>
      <c r="T247" s="175"/>
    </row>
    <row r="248" spans="1:20" x14ac:dyDescent="0.25">
      <c r="B248" s="80" t="s">
        <v>105516</v>
      </c>
      <c r="C248" s="80" t="s">
        <v>105924</v>
      </c>
      <c r="D248" s="80" t="s">
        <v>105520</v>
      </c>
      <c r="E248" s="80" t="s">
        <v>105520</v>
      </c>
      <c r="F248" s="80" t="s">
        <v>105538</v>
      </c>
      <c r="G248" s="80" t="s">
        <v>105550</v>
      </c>
      <c r="H248" s="80" t="s">
        <v>105520</v>
      </c>
      <c r="I248" s="80"/>
      <c r="J248" s="80"/>
      <c r="K248" s="80"/>
      <c r="L248" s="80"/>
      <c r="M248" s="304" t="s">
        <v>106671</v>
      </c>
      <c r="N248" s="83"/>
      <c r="O248" s="83"/>
      <c r="P248" s="84"/>
      <c r="Q248" s="84"/>
      <c r="R248" s="85">
        <f>+R249</f>
        <v>200000000</v>
      </c>
      <c r="S248" s="86"/>
      <c r="T248" s="101"/>
    </row>
    <row r="249" spans="1:20" ht="45" x14ac:dyDescent="0.25">
      <c r="B249" s="88"/>
      <c r="C249" s="335"/>
      <c r="D249" s="335"/>
      <c r="E249" s="335"/>
      <c r="F249" s="335"/>
      <c r="G249" s="335"/>
      <c r="H249" s="335"/>
      <c r="I249" s="335"/>
      <c r="J249" s="90"/>
      <c r="K249" s="90" t="s">
        <v>112216</v>
      </c>
      <c r="L249" s="91">
        <v>30171600</v>
      </c>
      <c r="M249" s="102" t="s">
        <v>113129</v>
      </c>
      <c r="N249" s="93">
        <v>45306</v>
      </c>
      <c r="O249" s="93" t="s">
        <v>113037</v>
      </c>
      <c r="P249" s="94" t="s">
        <v>113022</v>
      </c>
      <c r="Q249" s="94" t="s">
        <v>112999</v>
      </c>
      <c r="R249" s="95">
        <v>200000000</v>
      </c>
      <c r="S249" s="97"/>
      <c r="T249" s="98" t="s">
        <v>113000</v>
      </c>
    </row>
    <row r="250" spans="1:20" x14ac:dyDescent="0.25">
      <c r="B250" s="63" t="s">
        <v>105516</v>
      </c>
      <c r="C250" s="63" t="s">
        <v>105924</v>
      </c>
      <c r="D250" s="63" t="s">
        <v>105520</v>
      </c>
      <c r="E250" s="63" t="s">
        <v>105520</v>
      </c>
      <c r="F250" s="182" t="s">
        <v>105541</v>
      </c>
      <c r="G250" s="63"/>
      <c r="H250" s="63"/>
      <c r="I250" s="63"/>
      <c r="J250" s="63"/>
      <c r="K250" s="64"/>
      <c r="L250" s="65"/>
      <c r="M250" s="306" t="s">
        <v>112242</v>
      </c>
      <c r="N250" s="67"/>
      <c r="O250" s="67"/>
      <c r="P250" s="68"/>
      <c r="Q250" s="68"/>
      <c r="R250" s="69">
        <f>+R251+R254</f>
        <v>285598659.80000001</v>
      </c>
      <c r="S250" s="70"/>
      <c r="T250" s="71"/>
    </row>
    <row r="251" spans="1:20" ht="30" x14ac:dyDescent="0.25">
      <c r="B251" s="334" t="s">
        <v>105516</v>
      </c>
      <c r="C251" s="334" t="s">
        <v>105924</v>
      </c>
      <c r="D251" s="334" t="s">
        <v>105520</v>
      </c>
      <c r="E251" s="334" t="s">
        <v>105520</v>
      </c>
      <c r="F251" s="334" t="s">
        <v>105541</v>
      </c>
      <c r="G251" s="334" t="s">
        <v>105535</v>
      </c>
      <c r="H251" s="170"/>
      <c r="I251" s="170"/>
      <c r="J251" s="170"/>
      <c r="K251" s="171"/>
      <c r="L251" s="171"/>
      <c r="M251" s="307" t="s">
        <v>106709</v>
      </c>
      <c r="N251" s="173"/>
      <c r="O251" s="173"/>
      <c r="P251" s="174"/>
      <c r="Q251" s="174"/>
      <c r="R251" s="175">
        <f>+R252+R253</f>
        <v>252838659.80000001</v>
      </c>
      <c r="S251" s="175"/>
      <c r="T251" s="175"/>
    </row>
    <row r="252" spans="1:20" ht="51.75" customHeight="1" x14ac:dyDescent="0.25">
      <c r="B252" s="88"/>
      <c r="C252" s="335"/>
      <c r="D252" s="335"/>
      <c r="E252" s="335"/>
      <c r="F252" s="335"/>
      <c r="G252" s="335"/>
      <c r="H252" s="335"/>
      <c r="I252" s="335"/>
      <c r="J252" s="90"/>
      <c r="K252" s="90" t="s">
        <v>112244</v>
      </c>
      <c r="L252" s="181" t="s">
        <v>113383</v>
      </c>
      <c r="M252" s="102" t="s">
        <v>113384</v>
      </c>
      <c r="N252" s="93">
        <v>45474</v>
      </c>
      <c r="O252" s="93" t="s">
        <v>112997</v>
      </c>
      <c r="P252" s="94" t="s">
        <v>113007</v>
      </c>
      <c r="Q252" s="94" t="s">
        <v>112999</v>
      </c>
      <c r="R252" s="95">
        <v>185000000</v>
      </c>
      <c r="S252" s="97"/>
      <c r="T252" s="98" t="s">
        <v>113019</v>
      </c>
    </row>
    <row r="253" spans="1:20" ht="75" x14ac:dyDescent="0.25">
      <c r="B253" s="88"/>
      <c r="C253" s="335"/>
      <c r="D253" s="335"/>
      <c r="E253" s="335"/>
      <c r="F253" s="335"/>
      <c r="G253" s="335"/>
      <c r="H253" s="335"/>
      <c r="I253" s="335"/>
      <c r="J253" s="90"/>
      <c r="K253" s="90"/>
      <c r="L253" s="181" t="s">
        <v>113385</v>
      </c>
      <c r="M253" s="102" t="s">
        <v>113386</v>
      </c>
      <c r="N253" s="93">
        <v>45536</v>
      </c>
      <c r="O253" s="93" t="s">
        <v>113078</v>
      </c>
      <c r="P253" s="94" t="s">
        <v>113007</v>
      </c>
      <c r="Q253" s="94" t="s">
        <v>113008</v>
      </c>
      <c r="R253" s="95">
        <f>80000000-12161340.2</f>
        <v>67838659.799999997</v>
      </c>
      <c r="S253" s="97"/>
      <c r="T253" s="98" t="s">
        <v>113019</v>
      </c>
    </row>
    <row r="254" spans="1:20" s="354" customFormat="1" x14ac:dyDescent="0.25">
      <c r="A254" s="343"/>
      <c r="B254" s="334" t="s">
        <v>105516</v>
      </c>
      <c r="C254" s="334" t="s">
        <v>105924</v>
      </c>
      <c r="D254" s="334" t="s">
        <v>105520</v>
      </c>
      <c r="E254" s="334" t="s">
        <v>105520</v>
      </c>
      <c r="F254" s="334" t="s">
        <v>105541</v>
      </c>
      <c r="G254" s="353" t="s">
        <v>105547</v>
      </c>
      <c r="H254" s="170"/>
      <c r="I254" s="170"/>
      <c r="J254" s="170"/>
      <c r="K254" s="171"/>
      <c r="L254" s="171"/>
      <c r="M254" s="307" t="s">
        <v>106270</v>
      </c>
      <c r="N254" s="173"/>
      <c r="O254" s="173"/>
      <c r="P254" s="174"/>
      <c r="Q254" s="174"/>
      <c r="R254" s="175">
        <f>R255</f>
        <v>32760000</v>
      </c>
      <c r="S254" s="175"/>
      <c r="T254" s="175" t="str">
        <f t="shared" ref="T254" si="0">T255</f>
        <v>MANTENIMIENTO</v>
      </c>
    </row>
    <row r="255" spans="1:20" ht="45" x14ac:dyDescent="0.25">
      <c r="B255" s="88"/>
      <c r="C255" s="335"/>
      <c r="D255" s="335"/>
      <c r="E255" s="335"/>
      <c r="F255" s="335"/>
      <c r="G255" s="335"/>
      <c r="H255" s="335"/>
      <c r="I255" s="335"/>
      <c r="J255" s="90"/>
      <c r="K255" s="90" t="s">
        <v>112266</v>
      </c>
      <c r="L255" s="181">
        <v>46171619</v>
      </c>
      <c r="M255" s="102" t="s">
        <v>113285</v>
      </c>
      <c r="N255" s="93">
        <v>45366</v>
      </c>
      <c r="O255" s="93" t="s">
        <v>113001</v>
      </c>
      <c r="P255" s="94" t="s">
        <v>113002</v>
      </c>
      <c r="Q255" s="94" t="s">
        <v>112999</v>
      </c>
      <c r="R255" s="95">
        <f>45000000-12240000</f>
        <v>32760000</v>
      </c>
      <c r="S255" s="97"/>
      <c r="T255" s="98" t="s">
        <v>113000</v>
      </c>
    </row>
    <row r="256" spans="1:20" x14ac:dyDescent="0.25">
      <c r="B256" s="162" t="s">
        <v>105516</v>
      </c>
      <c r="C256" s="162" t="s">
        <v>105924</v>
      </c>
      <c r="D256" s="162" t="s">
        <v>105520</v>
      </c>
      <c r="E256" s="162" t="s">
        <v>105573</v>
      </c>
      <c r="F256" s="162"/>
      <c r="G256" s="162"/>
      <c r="H256" s="162"/>
      <c r="I256" s="162"/>
      <c r="J256" s="162"/>
      <c r="K256" s="163"/>
      <c r="L256" s="163">
        <v>30171700</v>
      </c>
      <c r="M256" s="351" t="s">
        <v>106777</v>
      </c>
      <c r="N256" s="165"/>
      <c r="O256" s="165"/>
      <c r="P256" s="166"/>
      <c r="Q256" s="166"/>
      <c r="R256" s="167">
        <f>SUM(R257+R283+R287+R299+R332)</f>
        <v>12103240000</v>
      </c>
      <c r="S256" s="167"/>
      <c r="T256" s="167"/>
    </row>
    <row r="257" spans="2:20" x14ac:dyDescent="0.25">
      <c r="B257" s="63" t="s">
        <v>105516</v>
      </c>
      <c r="C257" s="63" t="s">
        <v>105924</v>
      </c>
      <c r="D257" s="63" t="s">
        <v>105520</v>
      </c>
      <c r="E257" s="63" t="s">
        <v>105573</v>
      </c>
      <c r="F257" s="63" t="s">
        <v>105544</v>
      </c>
      <c r="G257" s="63"/>
      <c r="H257" s="63"/>
      <c r="I257" s="63"/>
      <c r="J257" s="63"/>
      <c r="K257" s="64"/>
      <c r="L257" s="65">
        <v>75153000</v>
      </c>
      <c r="M257" s="306" t="s">
        <v>106779</v>
      </c>
      <c r="N257" s="67"/>
      <c r="O257" s="67"/>
      <c r="P257" s="68"/>
      <c r="Q257" s="68"/>
      <c r="R257" s="69">
        <f>+R258</f>
        <v>8514310773</v>
      </c>
      <c r="S257" s="69"/>
      <c r="T257" s="69"/>
    </row>
    <row r="258" spans="2:20" x14ac:dyDescent="0.25">
      <c r="B258" s="334" t="s">
        <v>105516</v>
      </c>
      <c r="C258" s="334" t="s">
        <v>105924</v>
      </c>
      <c r="D258" s="334" t="s">
        <v>105520</v>
      </c>
      <c r="E258" s="334" t="s">
        <v>105573</v>
      </c>
      <c r="F258" s="334" t="s">
        <v>105544</v>
      </c>
      <c r="G258" s="334" t="s">
        <v>105541</v>
      </c>
      <c r="H258" s="170"/>
      <c r="I258" s="170"/>
      <c r="J258" s="170"/>
      <c r="K258" s="171"/>
      <c r="L258" s="171"/>
      <c r="M258" s="355" t="s">
        <v>106781</v>
      </c>
      <c r="N258" s="173"/>
      <c r="O258" s="173"/>
      <c r="P258" s="174"/>
      <c r="Q258" s="174"/>
      <c r="R258" s="175">
        <f>+R259+R270+R276</f>
        <v>8514310773</v>
      </c>
      <c r="S258" s="175"/>
      <c r="T258" s="175"/>
    </row>
    <row r="259" spans="2:20" ht="19.5" customHeight="1" x14ac:dyDescent="0.25">
      <c r="B259" s="80" t="s">
        <v>105516</v>
      </c>
      <c r="C259" s="80" t="s">
        <v>105924</v>
      </c>
      <c r="D259" s="80" t="s">
        <v>105520</v>
      </c>
      <c r="E259" s="80" t="s">
        <v>105573</v>
      </c>
      <c r="F259" s="80" t="s">
        <v>105544</v>
      </c>
      <c r="G259" s="80" t="s">
        <v>105541</v>
      </c>
      <c r="H259" s="80" t="s">
        <v>105924</v>
      </c>
      <c r="I259" s="80"/>
      <c r="J259" s="80"/>
      <c r="K259" s="80"/>
      <c r="L259" s="80"/>
      <c r="M259" s="304" t="s">
        <v>106811</v>
      </c>
      <c r="N259" s="83"/>
      <c r="O259" s="83"/>
      <c r="P259" s="84"/>
      <c r="Q259" s="84"/>
      <c r="R259" s="85">
        <f>SUM(R260:R269)</f>
        <v>6985710773</v>
      </c>
      <c r="S259" s="86"/>
      <c r="T259" s="101"/>
    </row>
    <row r="260" spans="2:20" ht="58.5" customHeight="1" x14ac:dyDescent="0.25">
      <c r="B260" s="88"/>
      <c r="C260" s="335"/>
      <c r="D260" s="335"/>
      <c r="E260" s="335"/>
      <c r="F260" s="335"/>
      <c r="G260" s="335"/>
      <c r="H260" s="335"/>
      <c r="I260" s="335"/>
      <c r="J260" s="90"/>
      <c r="K260" s="90" t="s">
        <v>112301</v>
      </c>
      <c r="L260" s="91" t="s">
        <v>113131</v>
      </c>
      <c r="M260" s="92" t="s">
        <v>113286</v>
      </c>
      <c r="N260" s="93">
        <v>45306</v>
      </c>
      <c r="O260" s="93" t="s">
        <v>113060</v>
      </c>
      <c r="P260" s="94" t="s">
        <v>113022</v>
      </c>
      <c r="Q260" s="94" t="s">
        <v>113130</v>
      </c>
      <c r="R260" s="95">
        <f>3000000000+2700000000+303699713-12300000-76541866.67-880900-30000000</f>
        <v>5883976946.3299999</v>
      </c>
      <c r="S260" s="129"/>
      <c r="T260" s="98" t="s">
        <v>113000</v>
      </c>
    </row>
    <row r="261" spans="2:20" ht="54" customHeight="1" x14ac:dyDescent="0.25">
      <c r="B261" s="88"/>
      <c r="C261" s="335"/>
      <c r="D261" s="335"/>
      <c r="E261" s="335"/>
      <c r="F261" s="335"/>
      <c r="G261" s="335"/>
      <c r="H261" s="335"/>
      <c r="I261" s="335"/>
      <c r="J261" s="90"/>
      <c r="K261" s="90" t="s">
        <v>112301</v>
      </c>
      <c r="L261" s="91" t="s">
        <v>113131</v>
      </c>
      <c r="M261" s="92" t="s">
        <v>113287</v>
      </c>
      <c r="N261" s="93">
        <v>45306</v>
      </c>
      <c r="O261" s="93" t="s">
        <v>113060</v>
      </c>
      <c r="P261" s="94" t="s">
        <v>113022</v>
      </c>
      <c r="Q261" s="94" t="s">
        <v>113130</v>
      </c>
      <c r="R261" s="95">
        <f>2700000000-2700000000</f>
        <v>0</v>
      </c>
      <c r="S261" s="129"/>
      <c r="T261" s="98" t="s">
        <v>113000</v>
      </c>
    </row>
    <row r="262" spans="2:20" ht="45" x14ac:dyDescent="0.25">
      <c r="B262" s="88"/>
      <c r="C262" s="335"/>
      <c r="D262" s="335"/>
      <c r="E262" s="335"/>
      <c r="F262" s="335"/>
      <c r="G262" s="335"/>
      <c r="H262" s="335"/>
      <c r="I262" s="335"/>
      <c r="J262" s="90"/>
      <c r="K262" s="90" t="s">
        <v>112301</v>
      </c>
      <c r="L262" s="91" t="s">
        <v>113133</v>
      </c>
      <c r="M262" s="92" t="s">
        <v>113288</v>
      </c>
      <c r="N262" s="93"/>
      <c r="O262" s="93"/>
      <c r="P262" s="94"/>
      <c r="Q262" s="94"/>
      <c r="R262" s="95">
        <v>225120000</v>
      </c>
      <c r="S262" s="184"/>
      <c r="T262" s="98" t="s">
        <v>113000</v>
      </c>
    </row>
    <row r="263" spans="2:20" ht="45" x14ac:dyDescent="0.25">
      <c r="B263" s="88"/>
      <c r="C263" s="335"/>
      <c r="D263" s="335"/>
      <c r="E263" s="335"/>
      <c r="F263" s="335"/>
      <c r="G263" s="335"/>
      <c r="H263" s="335"/>
      <c r="I263" s="335"/>
      <c r="J263" s="90"/>
      <c r="K263" s="90" t="s">
        <v>112301</v>
      </c>
      <c r="L263" s="91" t="s">
        <v>113133</v>
      </c>
      <c r="M263" s="92" t="s">
        <v>113289</v>
      </c>
      <c r="N263" s="93">
        <v>45397</v>
      </c>
      <c r="O263" s="93" t="s">
        <v>113087</v>
      </c>
      <c r="P263" s="94" t="s">
        <v>113068</v>
      </c>
      <c r="Q263" s="94" t="s">
        <v>113069</v>
      </c>
      <c r="R263" s="95">
        <f>225120000-58718040</f>
        <v>166401960</v>
      </c>
      <c r="S263" s="321">
        <v>238680000</v>
      </c>
      <c r="T263" s="98" t="s">
        <v>113000</v>
      </c>
    </row>
    <row r="264" spans="2:20" ht="77.25" customHeight="1" x14ac:dyDescent="0.25">
      <c r="B264" s="88"/>
      <c r="C264" s="335"/>
      <c r="D264" s="335"/>
      <c r="E264" s="335"/>
      <c r="F264" s="335"/>
      <c r="G264" s="335"/>
      <c r="H264" s="335"/>
      <c r="I264" s="335"/>
      <c r="J264" s="90"/>
      <c r="K264" s="90"/>
      <c r="L264" s="91" t="s">
        <v>113133</v>
      </c>
      <c r="M264" s="92" t="s">
        <v>113387</v>
      </c>
      <c r="N264" s="93">
        <v>45544</v>
      </c>
      <c r="O264" s="93" t="s">
        <v>113078</v>
      </c>
      <c r="P264" s="94" t="s">
        <v>113377</v>
      </c>
      <c r="Q264" s="94" t="s">
        <v>113069</v>
      </c>
      <c r="R264" s="95">
        <f>58718040+14975300+1346660</f>
        <v>75040000</v>
      </c>
      <c r="S264" s="97"/>
      <c r="T264" s="98" t="s">
        <v>113000</v>
      </c>
    </row>
    <row r="265" spans="2:20" ht="61.5" customHeight="1" x14ac:dyDescent="0.25">
      <c r="B265" s="88"/>
      <c r="C265" s="335"/>
      <c r="D265" s="335"/>
      <c r="E265" s="335"/>
      <c r="F265" s="335"/>
      <c r="G265" s="335"/>
      <c r="H265" s="335"/>
      <c r="I265" s="335"/>
      <c r="J265" s="90"/>
      <c r="K265" s="90" t="s">
        <v>112301</v>
      </c>
      <c r="L265" s="91">
        <v>72154100</v>
      </c>
      <c r="M265" s="92" t="s">
        <v>113290</v>
      </c>
      <c r="N265" s="93"/>
      <c r="O265" s="93"/>
      <c r="P265" s="94"/>
      <c r="Q265" s="94"/>
      <c r="R265" s="95">
        <v>256940000</v>
      </c>
      <c r="S265" s="129"/>
      <c r="T265" s="98" t="s">
        <v>113000</v>
      </c>
    </row>
    <row r="266" spans="2:20" ht="63" customHeight="1" x14ac:dyDescent="0.25">
      <c r="B266" s="88"/>
      <c r="C266" s="335"/>
      <c r="D266" s="335"/>
      <c r="E266" s="335"/>
      <c r="F266" s="335"/>
      <c r="G266" s="335"/>
      <c r="H266" s="335"/>
      <c r="I266" s="335"/>
      <c r="J266" s="90"/>
      <c r="K266" s="90" t="s">
        <v>112301</v>
      </c>
      <c r="L266" s="91">
        <v>72154100</v>
      </c>
      <c r="M266" s="92" t="s">
        <v>113291</v>
      </c>
      <c r="N266" s="93">
        <v>45397</v>
      </c>
      <c r="O266" s="93" t="s">
        <v>113087</v>
      </c>
      <c r="P266" s="94" t="s">
        <v>113068</v>
      </c>
      <c r="Q266" s="94" t="s">
        <v>113069</v>
      </c>
      <c r="R266" s="95">
        <f>256940000-33910000</f>
        <v>223030000</v>
      </c>
      <c r="S266" s="322">
        <v>272400000</v>
      </c>
      <c r="T266" s="98" t="s">
        <v>113000</v>
      </c>
    </row>
    <row r="267" spans="2:20" ht="104.25" customHeight="1" x14ac:dyDescent="0.25">
      <c r="B267" s="88"/>
      <c r="C267" s="335"/>
      <c r="D267" s="335"/>
      <c r="E267" s="335"/>
      <c r="F267" s="335"/>
      <c r="G267" s="335"/>
      <c r="H267" s="335"/>
      <c r="I267" s="335"/>
      <c r="J267" s="90"/>
      <c r="K267" s="90"/>
      <c r="L267" s="91">
        <v>72154100</v>
      </c>
      <c r="M267" s="92" t="s">
        <v>113379</v>
      </c>
      <c r="N267" s="93">
        <v>45544</v>
      </c>
      <c r="O267" s="93" t="s">
        <v>113078</v>
      </c>
      <c r="P267" s="94" t="s">
        <v>113377</v>
      </c>
      <c r="Q267" s="94" t="s">
        <v>113069</v>
      </c>
      <c r="R267" s="95">
        <f>33910000+65741866.67</f>
        <v>99651866.670000002</v>
      </c>
      <c r="S267" s="97"/>
      <c r="T267" s="98" t="s">
        <v>113000</v>
      </c>
    </row>
    <row r="268" spans="2:20" ht="72" customHeight="1" x14ac:dyDescent="0.25">
      <c r="B268" s="88"/>
      <c r="C268" s="335"/>
      <c r="D268" s="335"/>
      <c r="E268" s="335"/>
      <c r="F268" s="335"/>
      <c r="G268" s="335"/>
      <c r="H268" s="335"/>
      <c r="I268" s="335"/>
      <c r="J268" s="90"/>
      <c r="K268" s="90" t="s">
        <v>112301</v>
      </c>
      <c r="L268" s="91" t="s">
        <v>113111</v>
      </c>
      <c r="M268" s="92" t="s">
        <v>113112</v>
      </c>
      <c r="N268" s="93">
        <v>45444</v>
      </c>
      <c r="O268" s="93" t="s">
        <v>112997</v>
      </c>
      <c r="P268" s="132" t="s">
        <v>113007</v>
      </c>
      <c r="Q268" s="94" t="s">
        <v>113052</v>
      </c>
      <c r="R268" s="95">
        <v>25550000</v>
      </c>
      <c r="S268" s="184"/>
      <c r="T268" s="98" t="s">
        <v>113000</v>
      </c>
    </row>
    <row r="269" spans="2:20" ht="45" x14ac:dyDescent="0.25">
      <c r="B269" s="88"/>
      <c r="C269" s="335"/>
      <c r="D269" s="335"/>
      <c r="E269" s="335"/>
      <c r="F269" s="335"/>
      <c r="G269" s="335"/>
      <c r="H269" s="335"/>
      <c r="I269" s="335"/>
      <c r="J269" s="90"/>
      <c r="K269" s="90" t="s">
        <v>112301</v>
      </c>
      <c r="L269" s="91">
        <v>72154100</v>
      </c>
      <c r="M269" s="92" t="s">
        <v>113209</v>
      </c>
      <c r="N269" s="93">
        <v>45474</v>
      </c>
      <c r="O269" s="93" t="s">
        <v>112997</v>
      </c>
      <c r="P269" s="132" t="s">
        <v>112998</v>
      </c>
      <c r="Q269" s="94" t="s">
        <v>113052</v>
      </c>
      <c r="R269" s="95">
        <v>30000000</v>
      </c>
      <c r="S269" s="184"/>
      <c r="T269" s="98" t="s">
        <v>113000</v>
      </c>
    </row>
    <row r="270" spans="2:20" x14ac:dyDescent="0.25">
      <c r="B270" s="80" t="s">
        <v>105516</v>
      </c>
      <c r="C270" s="80" t="s">
        <v>105924</v>
      </c>
      <c r="D270" s="80" t="s">
        <v>105520</v>
      </c>
      <c r="E270" s="80" t="s">
        <v>105573</v>
      </c>
      <c r="F270" s="80" t="s">
        <v>105544</v>
      </c>
      <c r="G270" s="80" t="s">
        <v>105541</v>
      </c>
      <c r="H270" s="80" t="s">
        <v>106100</v>
      </c>
      <c r="I270" s="80"/>
      <c r="J270" s="80"/>
      <c r="K270" s="80"/>
      <c r="L270" s="80"/>
      <c r="M270" s="304" t="s">
        <v>106813</v>
      </c>
      <c r="N270" s="83"/>
      <c r="O270" s="83"/>
      <c r="P270" s="84"/>
      <c r="Q270" s="84"/>
      <c r="R270" s="85">
        <f>SUM(R271:R275)</f>
        <v>156700000</v>
      </c>
      <c r="S270" s="86"/>
      <c r="T270" s="101"/>
    </row>
    <row r="271" spans="2:20" ht="38.25" customHeight="1" x14ac:dyDescent="0.25">
      <c r="B271" s="88"/>
      <c r="C271" s="335"/>
      <c r="D271" s="335"/>
      <c r="E271" s="335"/>
      <c r="F271" s="335"/>
      <c r="G271" s="335"/>
      <c r="H271" s="335"/>
      <c r="I271" s="335"/>
      <c r="J271" s="90"/>
      <c r="K271" s="90" t="s">
        <v>112301</v>
      </c>
      <c r="L271" s="55">
        <v>72101500</v>
      </c>
      <c r="M271" s="102" t="s">
        <v>113136</v>
      </c>
      <c r="N271" s="93">
        <v>45301</v>
      </c>
      <c r="O271" s="93" t="s">
        <v>113204</v>
      </c>
      <c r="P271" s="94" t="s">
        <v>113210</v>
      </c>
      <c r="Q271" s="94" t="s">
        <v>113053</v>
      </c>
      <c r="R271" s="95">
        <v>29700000</v>
      </c>
      <c r="S271" s="187"/>
      <c r="T271" s="98" t="s">
        <v>113000</v>
      </c>
    </row>
    <row r="272" spans="2:20" ht="60" x14ac:dyDescent="0.25">
      <c r="B272" s="88"/>
      <c r="C272" s="335"/>
      <c r="D272" s="335"/>
      <c r="E272" s="335"/>
      <c r="F272" s="335"/>
      <c r="G272" s="335"/>
      <c r="H272" s="335"/>
      <c r="I272" s="335"/>
      <c r="J272" s="90"/>
      <c r="K272" s="90" t="s">
        <v>112301</v>
      </c>
      <c r="L272" s="91" t="s">
        <v>113137</v>
      </c>
      <c r="M272" s="102" t="s">
        <v>113388</v>
      </c>
      <c r="N272" s="93">
        <v>45536</v>
      </c>
      <c r="O272" s="93" t="s">
        <v>113078</v>
      </c>
      <c r="P272" s="94" t="s">
        <v>113007</v>
      </c>
      <c r="Q272" s="94" t="s">
        <v>113096</v>
      </c>
      <c r="R272" s="95">
        <v>95000000</v>
      </c>
      <c r="S272" s="187"/>
      <c r="T272" s="98" t="s">
        <v>113003</v>
      </c>
    </row>
    <row r="273" spans="2:20" ht="71.25" customHeight="1" x14ac:dyDescent="0.25">
      <c r="B273" s="88"/>
      <c r="C273" s="335"/>
      <c r="D273" s="335"/>
      <c r="E273" s="335"/>
      <c r="F273" s="335"/>
      <c r="G273" s="335"/>
      <c r="H273" s="335"/>
      <c r="I273" s="335"/>
      <c r="J273" s="90"/>
      <c r="K273" s="90"/>
      <c r="L273" s="91">
        <v>72151500</v>
      </c>
      <c r="M273" s="92" t="s">
        <v>113389</v>
      </c>
      <c r="N273" s="93">
        <v>45548</v>
      </c>
      <c r="O273" s="93" t="s">
        <v>113078</v>
      </c>
      <c r="P273" s="94" t="s">
        <v>112998</v>
      </c>
      <c r="Q273" s="94" t="s">
        <v>113053</v>
      </c>
      <c r="R273" s="95">
        <v>17000000</v>
      </c>
      <c r="S273" s="97"/>
      <c r="T273" s="98" t="s">
        <v>113000</v>
      </c>
    </row>
    <row r="274" spans="2:20" ht="71.25" customHeight="1" x14ac:dyDescent="0.25">
      <c r="B274" s="88"/>
      <c r="C274" s="335"/>
      <c r="D274" s="335"/>
      <c r="E274" s="335"/>
      <c r="F274" s="335"/>
      <c r="G274" s="335"/>
      <c r="H274" s="335"/>
      <c r="I274" s="335"/>
      <c r="J274" s="90"/>
      <c r="K274" s="90"/>
      <c r="L274" s="91" t="s">
        <v>113390</v>
      </c>
      <c r="M274" s="92" t="s">
        <v>113391</v>
      </c>
      <c r="N274" s="93">
        <v>45552</v>
      </c>
      <c r="O274" s="93" t="s">
        <v>113078</v>
      </c>
      <c r="P274" s="94" t="s">
        <v>113079</v>
      </c>
      <c r="Q274" s="94" t="s">
        <v>113052</v>
      </c>
      <c r="R274" s="95">
        <v>15000000</v>
      </c>
      <c r="S274" s="97"/>
      <c r="T274" s="98" t="s">
        <v>113000</v>
      </c>
    </row>
    <row r="275" spans="2:20" ht="45" x14ac:dyDescent="0.25">
      <c r="B275" s="88"/>
      <c r="C275" s="335"/>
      <c r="D275" s="335"/>
      <c r="E275" s="335"/>
      <c r="F275" s="335"/>
      <c r="G275" s="335"/>
      <c r="H275" s="335"/>
      <c r="I275" s="335"/>
      <c r="J275" s="90"/>
      <c r="K275" s="90" t="s">
        <v>112301</v>
      </c>
      <c r="L275" s="91" t="s">
        <v>113137</v>
      </c>
      <c r="M275" s="92" t="s">
        <v>113293</v>
      </c>
      <c r="N275" s="93">
        <v>44998</v>
      </c>
      <c r="O275" s="93" t="s">
        <v>113006</v>
      </c>
      <c r="P275" s="94" t="s">
        <v>113004</v>
      </c>
      <c r="Q275" s="94" t="s">
        <v>113096</v>
      </c>
      <c r="R275" s="95">
        <v>0</v>
      </c>
      <c r="S275" s="187"/>
      <c r="T275" s="98" t="s">
        <v>113003</v>
      </c>
    </row>
    <row r="276" spans="2:20" x14ac:dyDescent="0.25">
      <c r="B276" s="80" t="s">
        <v>105516</v>
      </c>
      <c r="C276" s="80" t="s">
        <v>105924</v>
      </c>
      <c r="D276" s="80" t="s">
        <v>105520</v>
      </c>
      <c r="E276" s="80" t="s">
        <v>105573</v>
      </c>
      <c r="F276" s="80" t="s">
        <v>105544</v>
      </c>
      <c r="G276" s="80" t="s">
        <v>105541</v>
      </c>
      <c r="H276" s="80" t="s">
        <v>106103</v>
      </c>
      <c r="I276" s="80"/>
      <c r="J276" s="80"/>
      <c r="K276" s="80"/>
      <c r="L276" s="80"/>
      <c r="M276" s="304" t="s">
        <v>106815</v>
      </c>
      <c r="N276" s="83"/>
      <c r="O276" s="83"/>
      <c r="P276" s="84"/>
      <c r="Q276" s="84"/>
      <c r="R276" s="85">
        <f>SUM(R277:R282)</f>
        <v>1371900000</v>
      </c>
      <c r="S276" s="86"/>
      <c r="T276" s="101"/>
    </row>
    <row r="277" spans="2:20" ht="53.25" customHeight="1" x14ac:dyDescent="0.25">
      <c r="B277" s="88"/>
      <c r="C277" s="335"/>
      <c r="D277" s="335"/>
      <c r="E277" s="335"/>
      <c r="F277" s="335"/>
      <c r="G277" s="335"/>
      <c r="H277" s="335"/>
      <c r="I277" s="335"/>
      <c r="J277" s="90"/>
      <c r="K277" s="90" t="s">
        <v>112301</v>
      </c>
      <c r="L277" s="55">
        <v>72141100</v>
      </c>
      <c r="M277" s="102" t="s">
        <v>113294</v>
      </c>
      <c r="N277" s="93">
        <v>45301</v>
      </c>
      <c r="O277" s="93" t="s">
        <v>113204</v>
      </c>
      <c r="P277" s="94" t="s">
        <v>113210</v>
      </c>
      <c r="Q277" s="94" t="s">
        <v>113053</v>
      </c>
      <c r="R277" s="95">
        <v>15600000</v>
      </c>
      <c r="S277" s="187"/>
      <c r="T277" s="98" t="s">
        <v>113000</v>
      </c>
    </row>
    <row r="278" spans="2:20" ht="71.25" customHeight="1" x14ac:dyDescent="0.25">
      <c r="B278" s="88"/>
      <c r="C278" s="335"/>
      <c r="D278" s="335"/>
      <c r="E278" s="335"/>
      <c r="F278" s="335"/>
      <c r="G278" s="335"/>
      <c r="H278" s="335"/>
      <c r="I278" s="335"/>
      <c r="J278" s="90"/>
      <c r="K278" s="90"/>
      <c r="L278" s="91">
        <v>72101500</v>
      </c>
      <c r="M278" s="92" t="s">
        <v>113392</v>
      </c>
      <c r="N278" s="93">
        <v>45548</v>
      </c>
      <c r="O278" s="93" t="s">
        <v>113078</v>
      </c>
      <c r="P278" s="94" t="s">
        <v>112998</v>
      </c>
      <c r="Q278" s="94" t="s">
        <v>113053</v>
      </c>
      <c r="R278" s="95">
        <v>10500000</v>
      </c>
      <c r="S278" s="97"/>
      <c r="T278" s="98" t="s">
        <v>113000</v>
      </c>
    </row>
    <row r="279" spans="2:20" ht="52.5" customHeight="1" x14ac:dyDescent="0.25">
      <c r="B279" s="88"/>
      <c r="C279" s="335"/>
      <c r="D279" s="335"/>
      <c r="E279" s="335"/>
      <c r="F279" s="335"/>
      <c r="G279" s="335"/>
      <c r="H279" s="335"/>
      <c r="I279" s="335"/>
      <c r="J279" s="90"/>
      <c r="K279" s="90"/>
      <c r="L279" s="91">
        <v>72101500</v>
      </c>
      <c r="M279" s="92" t="s">
        <v>113393</v>
      </c>
      <c r="N279" s="93">
        <v>45548</v>
      </c>
      <c r="O279" s="93" t="s">
        <v>113078</v>
      </c>
      <c r="P279" s="94" t="s">
        <v>112998</v>
      </c>
      <c r="Q279" s="94" t="s">
        <v>113053</v>
      </c>
      <c r="R279" s="95">
        <v>33000000</v>
      </c>
      <c r="S279" s="97"/>
      <c r="T279" s="98" t="s">
        <v>113000</v>
      </c>
    </row>
    <row r="280" spans="2:20" ht="71.25" customHeight="1" x14ac:dyDescent="0.25">
      <c r="B280" s="88"/>
      <c r="C280" s="335"/>
      <c r="D280" s="335"/>
      <c r="E280" s="335"/>
      <c r="F280" s="335"/>
      <c r="G280" s="335"/>
      <c r="H280" s="335"/>
      <c r="I280" s="335"/>
      <c r="J280" s="90"/>
      <c r="K280" s="90" t="s">
        <v>112301</v>
      </c>
      <c r="L280" s="55">
        <v>72101500</v>
      </c>
      <c r="M280" s="102" t="s">
        <v>113138</v>
      </c>
      <c r="N280" s="93">
        <v>45301</v>
      </c>
      <c r="O280" s="93" t="s">
        <v>113204</v>
      </c>
      <c r="P280" s="94" t="s">
        <v>113210</v>
      </c>
      <c r="Q280" s="94" t="s">
        <v>113053</v>
      </c>
      <c r="R280" s="95">
        <f>302500000+5000000</f>
        <v>307500000</v>
      </c>
      <c r="S280" s="187"/>
      <c r="T280" s="98" t="s">
        <v>113000</v>
      </c>
    </row>
    <row r="281" spans="2:20" ht="45" x14ac:dyDescent="0.25">
      <c r="B281" s="88"/>
      <c r="C281" s="335"/>
      <c r="D281" s="335"/>
      <c r="E281" s="335"/>
      <c r="F281" s="335"/>
      <c r="G281" s="335"/>
      <c r="H281" s="335"/>
      <c r="I281" s="335"/>
      <c r="J281" s="90"/>
      <c r="K281" s="90" t="s">
        <v>112301</v>
      </c>
      <c r="L281" s="55">
        <v>72101500</v>
      </c>
      <c r="M281" s="102" t="s">
        <v>113139</v>
      </c>
      <c r="N281" s="93">
        <v>45301</v>
      </c>
      <c r="O281" s="93" t="s">
        <v>113060</v>
      </c>
      <c r="P281" s="94" t="s">
        <v>113011</v>
      </c>
      <c r="Q281" s="94" t="s">
        <v>113053</v>
      </c>
      <c r="R281" s="95">
        <v>85800000</v>
      </c>
      <c r="S281" s="187"/>
      <c r="T281" s="98" t="s">
        <v>113000</v>
      </c>
    </row>
    <row r="282" spans="2:20" ht="48.75" customHeight="1" x14ac:dyDescent="0.25">
      <c r="B282" s="88"/>
      <c r="C282" s="335"/>
      <c r="D282" s="335"/>
      <c r="E282" s="335"/>
      <c r="F282" s="335"/>
      <c r="G282" s="335"/>
      <c r="H282" s="335"/>
      <c r="I282" s="335"/>
      <c r="J282" s="90"/>
      <c r="K282" s="90" t="s">
        <v>112301</v>
      </c>
      <c r="L282" s="91">
        <v>72101500</v>
      </c>
      <c r="M282" s="102" t="s">
        <v>113140</v>
      </c>
      <c r="N282" s="93">
        <v>45301</v>
      </c>
      <c r="O282" s="93" t="s">
        <v>113060</v>
      </c>
      <c r="P282" s="94" t="s">
        <v>113011</v>
      </c>
      <c r="Q282" s="94" t="s">
        <v>113053</v>
      </c>
      <c r="R282" s="95">
        <f>1000000000-10500000-33000000-17000000-15000000-5000000</f>
        <v>919500000</v>
      </c>
      <c r="S282" s="187"/>
      <c r="T282" s="98" t="s">
        <v>113000</v>
      </c>
    </row>
    <row r="283" spans="2:20" ht="54" customHeight="1" x14ac:dyDescent="0.25">
      <c r="B283" s="188" t="s">
        <v>105516</v>
      </c>
      <c r="C283" s="188" t="s">
        <v>105924</v>
      </c>
      <c r="D283" s="188" t="s">
        <v>105520</v>
      </c>
      <c r="E283" s="188" t="s">
        <v>105573</v>
      </c>
      <c r="F283" s="188" t="s">
        <v>105547</v>
      </c>
      <c r="G283" s="188"/>
      <c r="H283" s="188"/>
      <c r="I283" s="188"/>
      <c r="J283" s="188"/>
      <c r="K283" s="189"/>
      <c r="L283" s="65"/>
      <c r="M283" s="306" t="s">
        <v>113221</v>
      </c>
      <c r="N283" s="67"/>
      <c r="O283" s="190"/>
      <c r="P283" s="68"/>
      <c r="Q283" s="68"/>
      <c r="R283" s="69">
        <f>+R284</f>
        <v>3400000</v>
      </c>
      <c r="S283" s="70"/>
      <c r="T283" s="71"/>
    </row>
    <row r="284" spans="2:20" x14ac:dyDescent="0.25">
      <c r="B284" s="342" t="s">
        <v>105516</v>
      </c>
      <c r="C284" s="342" t="s">
        <v>105924</v>
      </c>
      <c r="D284" s="342" t="s">
        <v>105520</v>
      </c>
      <c r="E284" s="342" t="s">
        <v>105573</v>
      </c>
      <c r="F284" s="342" t="s">
        <v>105547</v>
      </c>
      <c r="G284" s="342" t="s">
        <v>105550</v>
      </c>
      <c r="H284" s="191"/>
      <c r="I284" s="191"/>
      <c r="J284" s="191"/>
      <c r="K284" s="192"/>
      <c r="L284" s="171"/>
      <c r="M284" s="307" t="s">
        <v>106841</v>
      </c>
      <c r="N284" s="173"/>
      <c r="O284" s="173"/>
      <c r="P284" s="174"/>
      <c r="Q284" s="174"/>
      <c r="R284" s="175">
        <f>+R285</f>
        <v>3400000</v>
      </c>
      <c r="S284" s="175"/>
      <c r="T284" s="175"/>
    </row>
    <row r="285" spans="2:20" x14ac:dyDescent="0.25">
      <c r="B285" s="81" t="s">
        <v>105516</v>
      </c>
      <c r="C285" s="81" t="s">
        <v>105924</v>
      </c>
      <c r="D285" s="81" t="s">
        <v>105520</v>
      </c>
      <c r="E285" s="81" t="s">
        <v>105573</v>
      </c>
      <c r="F285" s="81" t="s">
        <v>105547</v>
      </c>
      <c r="G285" s="81" t="s">
        <v>105550</v>
      </c>
      <c r="H285" s="81" t="s">
        <v>105520</v>
      </c>
      <c r="I285" s="81"/>
      <c r="J285" s="81"/>
      <c r="K285" s="81"/>
      <c r="L285" s="80"/>
      <c r="M285" s="304" t="s">
        <v>106843</v>
      </c>
      <c r="N285" s="83"/>
      <c r="O285" s="83"/>
      <c r="P285" s="84"/>
      <c r="Q285" s="84"/>
      <c r="R285" s="85">
        <f>+R286</f>
        <v>3400000</v>
      </c>
      <c r="S285" s="86"/>
      <c r="T285" s="87"/>
    </row>
    <row r="286" spans="2:20" ht="30" x14ac:dyDescent="0.25">
      <c r="B286" s="88"/>
      <c r="C286" s="335"/>
      <c r="D286" s="335"/>
      <c r="E286" s="335"/>
      <c r="F286" s="335"/>
      <c r="G286" s="335"/>
      <c r="H286" s="335"/>
      <c r="I286" s="335"/>
      <c r="J286" s="90"/>
      <c r="K286" s="90" t="s">
        <v>112476</v>
      </c>
      <c r="L286" s="55">
        <v>78121600</v>
      </c>
      <c r="M286" s="102" t="s">
        <v>113141</v>
      </c>
      <c r="N286" s="93">
        <v>45301</v>
      </c>
      <c r="O286" s="93" t="s">
        <v>113204</v>
      </c>
      <c r="P286" s="94" t="s">
        <v>113011</v>
      </c>
      <c r="Q286" s="94" t="s">
        <v>113053</v>
      </c>
      <c r="R286" s="95">
        <f>25300000-1400000-20500000</f>
        <v>3400000</v>
      </c>
      <c r="S286" s="193"/>
      <c r="T286" s="98" t="s">
        <v>113000</v>
      </c>
    </row>
    <row r="287" spans="2:20" ht="30" x14ac:dyDescent="0.25">
      <c r="B287" s="63" t="s">
        <v>105516</v>
      </c>
      <c r="C287" s="63" t="s">
        <v>105924</v>
      </c>
      <c r="D287" s="63" t="s">
        <v>105520</v>
      </c>
      <c r="E287" s="63" t="s">
        <v>105573</v>
      </c>
      <c r="F287" s="63" t="s">
        <v>105550</v>
      </c>
      <c r="G287" s="63"/>
      <c r="H287" s="63"/>
      <c r="I287" s="63"/>
      <c r="J287" s="63"/>
      <c r="K287" s="64"/>
      <c r="L287" s="65"/>
      <c r="M287" s="306" t="s">
        <v>113347</v>
      </c>
      <c r="N287" s="67"/>
      <c r="O287" s="190"/>
      <c r="P287" s="68"/>
      <c r="Q287" s="68"/>
      <c r="R287" s="69">
        <f>+R288+R295</f>
        <v>964319487</v>
      </c>
      <c r="S287" s="70"/>
      <c r="T287" s="71"/>
    </row>
    <row r="288" spans="2:20" x14ac:dyDescent="0.25">
      <c r="B288" s="334" t="s">
        <v>105516</v>
      </c>
      <c r="C288" s="334" t="s">
        <v>105924</v>
      </c>
      <c r="D288" s="334" t="s">
        <v>105520</v>
      </c>
      <c r="E288" s="334" t="s">
        <v>105573</v>
      </c>
      <c r="F288" s="334" t="s">
        <v>105550</v>
      </c>
      <c r="G288" s="342" t="s">
        <v>105528</v>
      </c>
      <c r="H288" s="170"/>
      <c r="I288" s="170"/>
      <c r="J288" s="170"/>
      <c r="K288" s="171"/>
      <c r="L288" s="171"/>
      <c r="M288" s="307" t="s">
        <v>106867</v>
      </c>
      <c r="N288" s="173"/>
      <c r="O288" s="173"/>
      <c r="P288" s="174"/>
      <c r="Q288" s="174"/>
      <c r="R288" s="175">
        <f>R289</f>
        <v>816300287</v>
      </c>
      <c r="S288" s="175"/>
      <c r="T288" s="175"/>
    </row>
    <row r="289" spans="2:20" ht="30" x14ac:dyDescent="0.25">
      <c r="B289" s="81" t="s">
        <v>105516</v>
      </c>
      <c r="C289" s="81" t="s">
        <v>105924</v>
      </c>
      <c r="D289" s="81" t="s">
        <v>105520</v>
      </c>
      <c r="E289" s="81" t="s">
        <v>105573</v>
      </c>
      <c r="F289" s="81" t="s">
        <v>105550</v>
      </c>
      <c r="G289" s="81" t="s">
        <v>105528</v>
      </c>
      <c r="H289" s="81" t="s">
        <v>105675</v>
      </c>
      <c r="I289" s="81"/>
      <c r="J289" s="81"/>
      <c r="K289" s="81"/>
      <c r="L289" s="80"/>
      <c r="M289" s="304" t="s">
        <v>113222</v>
      </c>
      <c r="N289" s="83"/>
      <c r="O289" s="83"/>
      <c r="P289" s="84"/>
      <c r="Q289" s="84"/>
      <c r="R289" s="85">
        <f>R290+R292</f>
        <v>816300287</v>
      </c>
      <c r="S289" s="86"/>
      <c r="T289" s="87"/>
    </row>
    <row r="290" spans="2:20" ht="45" x14ac:dyDescent="0.25">
      <c r="B290" s="81" t="s">
        <v>105516</v>
      </c>
      <c r="C290" s="81" t="s">
        <v>105924</v>
      </c>
      <c r="D290" s="81" t="s">
        <v>105520</v>
      </c>
      <c r="E290" s="81" t="s">
        <v>105573</v>
      </c>
      <c r="F290" s="81" t="s">
        <v>105550</v>
      </c>
      <c r="G290" s="81" t="s">
        <v>105528</v>
      </c>
      <c r="H290" s="81" t="s">
        <v>105675</v>
      </c>
      <c r="I290" s="81" t="s">
        <v>106211</v>
      </c>
      <c r="J290" s="81"/>
      <c r="K290" s="81"/>
      <c r="L290" s="80"/>
      <c r="M290" s="304" t="s">
        <v>113223</v>
      </c>
      <c r="N290" s="83"/>
      <c r="O290" s="83"/>
      <c r="P290" s="84"/>
      <c r="Q290" s="84"/>
      <c r="R290" s="85">
        <f>+R291</f>
        <v>75000000</v>
      </c>
      <c r="S290" s="86"/>
      <c r="T290" s="87"/>
    </row>
    <row r="291" spans="2:20" ht="30" x14ac:dyDescent="0.25">
      <c r="B291" s="194"/>
      <c r="C291" s="356"/>
      <c r="D291" s="356"/>
      <c r="E291" s="356"/>
      <c r="F291" s="356"/>
      <c r="G291" s="356"/>
      <c r="H291" s="356"/>
      <c r="I291" s="356"/>
      <c r="J291" s="196"/>
      <c r="K291" s="90" t="s">
        <v>112489</v>
      </c>
      <c r="L291" s="55"/>
      <c r="M291" s="102" t="s">
        <v>113143</v>
      </c>
      <c r="N291" s="93" t="s">
        <v>113031</v>
      </c>
      <c r="O291" s="93" t="s">
        <v>113031</v>
      </c>
      <c r="P291" s="93" t="s">
        <v>113031</v>
      </c>
      <c r="Q291" s="93" t="s">
        <v>113031</v>
      </c>
      <c r="R291" s="95">
        <v>75000000</v>
      </c>
      <c r="S291" s="97"/>
      <c r="T291" s="98" t="s">
        <v>113000</v>
      </c>
    </row>
    <row r="292" spans="2:20" ht="30" x14ac:dyDescent="0.25">
      <c r="B292" s="80" t="s">
        <v>105516</v>
      </c>
      <c r="C292" s="81" t="s">
        <v>105924</v>
      </c>
      <c r="D292" s="81" t="s">
        <v>105520</v>
      </c>
      <c r="E292" s="81" t="s">
        <v>105573</v>
      </c>
      <c r="F292" s="81" t="s">
        <v>105550</v>
      </c>
      <c r="G292" s="81" t="s">
        <v>105528</v>
      </c>
      <c r="H292" s="80" t="s">
        <v>105675</v>
      </c>
      <c r="I292" s="80" t="s">
        <v>106217</v>
      </c>
      <c r="J292" s="80"/>
      <c r="K292" s="80"/>
      <c r="L292" s="80"/>
      <c r="M292" s="304" t="s">
        <v>106892</v>
      </c>
      <c r="N292" s="83"/>
      <c r="O292" s="83"/>
      <c r="P292" s="84"/>
      <c r="Q292" s="84"/>
      <c r="R292" s="85">
        <f>R293</f>
        <v>741300287</v>
      </c>
      <c r="S292" s="86"/>
      <c r="T292" s="101"/>
    </row>
    <row r="293" spans="2:20" ht="30" x14ac:dyDescent="0.25">
      <c r="B293" s="80" t="s">
        <v>105516</v>
      </c>
      <c r="C293" s="81" t="s">
        <v>105924</v>
      </c>
      <c r="D293" s="81" t="s">
        <v>105520</v>
      </c>
      <c r="E293" s="81" t="s">
        <v>105573</v>
      </c>
      <c r="F293" s="81" t="s">
        <v>105550</v>
      </c>
      <c r="G293" s="81" t="s">
        <v>105528</v>
      </c>
      <c r="H293" s="80" t="s">
        <v>105675</v>
      </c>
      <c r="I293" s="80" t="s">
        <v>106217</v>
      </c>
      <c r="J293" s="80" t="s">
        <v>105917</v>
      </c>
      <c r="K293" s="80"/>
      <c r="L293" s="80"/>
      <c r="M293" s="304" t="s">
        <v>106900</v>
      </c>
      <c r="N293" s="83"/>
      <c r="O293" s="83"/>
      <c r="P293" s="84"/>
      <c r="Q293" s="84"/>
      <c r="R293" s="85">
        <f>R294</f>
        <v>741300287</v>
      </c>
      <c r="S293" s="86"/>
      <c r="T293" s="101"/>
    </row>
    <row r="294" spans="2:20" ht="30" x14ac:dyDescent="0.25">
      <c r="B294" s="88"/>
      <c r="C294" s="335"/>
      <c r="D294" s="335"/>
      <c r="E294" s="335"/>
      <c r="F294" s="335"/>
      <c r="G294" s="335"/>
      <c r="H294" s="335"/>
      <c r="I294" s="335"/>
      <c r="J294" s="90"/>
      <c r="K294" s="335" t="s">
        <v>106866</v>
      </c>
      <c r="L294" s="207" t="s">
        <v>113067</v>
      </c>
      <c r="M294" s="102" t="s">
        <v>106900</v>
      </c>
      <c r="N294" s="121">
        <v>45536</v>
      </c>
      <c r="O294" s="93" t="s">
        <v>113078</v>
      </c>
      <c r="P294" s="132" t="s">
        <v>113045</v>
      </c>
      <c r="Q294" s="132" t="s">
        <v>113069</v>
      </c>
      <c r="R294" s="95">
        <f>711300287+30000000</f>
        <v>741300287</v>
      </c>
      <c r="S294" s="95"/>
      <c r="T294" s="98" t="s">
        <v>113000</v>
      </c>
    </row>
    <row r="295" spans="2:20" x14ac:dyDescent="0.25">
      <c r="B295" s="334" t="s">
        <v>105516</v>
      </c>
      <c r="C295" s="334" t="s">
        <v>105924</v>
      </c>
      <c r="D295" s="334" t="s">
        <v>105520</v>
      </c>
      <c r="E295" s="334" t="s">
        <v>105573</v>
      </c>
      <c r="F295" s="334" t="s">
        <v>105550</v>
      </c>
      <c r="G295" s="334" t="s">
        <v>105535</v>
      </c>
      <c r="H295" s="170"/>
      <c r="I295" s="170"/>
      <c r="J295" s="170"/>
      <c r="K295" s="171"/>
      <c r="L295" s="171"/>
      <c r="M295" s="307" t="s">
        <v>106948</v>
      </c>
      <c r="N295" s="173"/>
      <c r="O295" s="173"/>
      <c r="P295" s="174"/>
      <c r="Q295" s="174"/>
      <c r="R295" s="175">
        <f>+R296</f>
        <v>148019200</v>
      </c>
      <c r="S295" s="175"/>
      <c r="T295" s="175"/>
    </row>
    <row r="296" spans="2:20" ht="30" x14ac:dyDescent="0.25">
      <c r="B296" s="81" t="s">
        <v>105516</v>
      </c>
      <c r="C296" s="81" t="s">
        <v>105924</v>
      </c>
      <c r="D296" s="81" t="s">
        <v>105520</v>
      </c>
      <c r="E296" s="81" t="s">
        <v>105573</v>
      </c>
      <c r="F296" s="81" t="s">
        <v>105550</v>
      </c>
      <c r="G296" s="81" t="s">
        <v>105535</v>
      </c>
      <c r="H296" s="81" t="s">
        <v>105520</v>
      </c>
      <c r="I296" s="80"/>
      <c r="J296" s="80"/>
      <c r="K296" s="80"/>
      <c r="L296" s="80"/>
      <c r="M296" s="304" t="s">
        <v>106950</v>
      </c>
      <c r="N296" s="83"/>
      <c r="O296" s="83"/>
      <c r="P296" s="84"/>
      <c r="Q296" s="84"/>
      <c r="R296" s="85">
        <f>+R297</f>
        <v>148019200</v>
      </c>
      <c r="S296" s="86"/>
      <c r="T296" s="101"/>
    </row>
    <row r="297" spans="2:20" ht="50.25" customHeight="1" x14ac:dyDescent="0.25">
      <c r="B297" s="81" t="s">
        <v>105516</v>
      </c>
      <c r="C297" s="81" t="s">
        <v>105924</v>
      </c>
      <c r="D297" s="81" t="s">
        <v>105520</v>
      </c>
      <c r="E297" s="81" t="s">
        <v>105573</v>
      </c>
      <c r="F297" s="81" t="s">
        <v>105550</v>
      </c>
      <c r="G297" s="81" t="s">
        <v>105535</v>
      </c>
      <c r="H297" s="80" t="s">
        <v>105520</v>
      </c>
      <c r="I297" s="80" t="s">
        <v>105576</v>
      </c>
      <c r="J297" s="80"/>
      <c r="K297" s="80"/>
      <c r="L297" s="80"/>
      <c r="M297" s="304" t="s">
        <v>106952</v>
      </c>
      <c r="N297" s="83"/>
      <c r="O297" s="83"/>
      <c r="P297" s="84"/>
      <c r="Q297" s="84"/>
      <c r="R297" s="85">
        <f>+R298</f>
        <v>148019200</v>
      </c>
      <c r="S297" s="86"/>
      <c r="T297" s="101"/>
    </row>
    <row r="298" spans="2:20" ht="20.25" customHeight="1" x14ac:dyDescent="0.25">
      <c r="B298" s="194"/>
      <c r="C298" s="356"/>
      <c r="D298" s="356"/>
      <c r="E298" s="356"/>
      <c r="F298" s="356"/>
      <c r="G298" s="356"/>
      <c r="H298" s="356"/>
      <c r="I298" s="356"/>
      <c r="J298" s="196"/>
      <c r="K298" s="90" t="s">
        <v>112528</v>
      </c>
      <c r="L298" s="55"/>
      <c r="M298" s="92" t="s">
        <v>113144</v>
      </c>
      <c r="N298" s="93">
        <v>45293</v>
      </c>
      <c r="O298" s="93" t="s">
        <v>113060</v>
      </c>
      <c r="P298" s="132" t="s">
        <v>113068</v>
      </c>
      <c r="Q298" s="93" t="s">
        <v>113031</v>
      </c>
      <c r="R298" s="95">
        <f>122931200+1400000+12240000+11448000</f>
        <v>148019200</v>
      </c>
      <c r="S298" s="97"/>
      <c r="T298" s="98" t="s">
        <v>113064</v>
      </c>
    </row>
    <row r="299" spans="2:20" ht="30" x14ac:dyDescent="0.25">
      <c r="B299" s="63" t="s">
        <v>105516</v>
      </c>
      <c r="C299" s="63" t="s">
        <v>105924</v>
      </c>
      <c r="D299" s="63" t="s">
        <v>105520</v>
      </c>
      <c r="E299" s="63" t="s">
        <v>105573</v>
      </c>
      <c r="F299" s="63" t="s">
        <v>105553</v>
      </c>
      <c r="G299" s="63"/>
      <c r="H299" s="63"/>
      <c r="I299" s="63"/>
      <c r="J299" s="63"/>
      <c r="K299" s="64"/>
      <c r="L299" s="65"/>
      <c r="M299" s="306" t="s">
        <v>106978</v>
      </c>
      <c r="N299" s="67"/>
      <c r="O299" s="67"/>
      <c r="P299" s="68"/>
      <c r="Q299" s="68"/>
      <c r="R299" s="69">
        <f>+R300+R311+R327</f>
        <v>2616343740</v>
      </c>
      <c r="S299" s="70"/>
      <c r="T299" s="71"/>
    </row>
    <row r="300" spans="2:20" ht="45" x14ac:dyDescent="0.25">
      <c r="B300" s="334" t="s">
        <v>105516</v>
      </c>
      <c r="C300" s="334" t="s">
        <v>105924</v>
      </c>
      <c r="D300" s="334" t="s">
        <v>105520</v>
      </c>
      <c r="E300" s="334" t="s">
        <v>105573</v>
      </c>
      <c r="F300" s="334" t="s">
        <v>105553</v>
      </c>
      <c r="G300" s="334" t="s">
        <v>105538</v>
      </c>
      <c r="H300" s="170"/>
      <c r="I300" s="170"/>
      <c r="J300" s="170"/>
      <c r="K300" s="171"/>
      <c r="L300" s="171"/>
      <c r="M300" s="307" t="s">
        <v>113224</v>
      </c>
      <c r="N300" s="173"/>
      <c r="O300" s="173"/>
      <c r="P300" s="174"/>
      <c r="Q300" s="174"/>
      <c r="R300" s="175">
        <f>+R301</f>
        <v>148300000</v>
      </c>
      <c r="S300" s="175"/>
      <c r="T300" s="175"/>
    </row>
    <row r="301" spans="2:20" ht="30" x14ac:dyDescent="0.25">
      <c r="B301" s="80" t="s">
        <v>105516</v>
      </c>
      <c r="C301" s="80" t="s">
        <v>105924</v>
      </c>
      <c r="D301" s="80" t="s">
        <v>105520</v>
      </c>
      <c r="E301" s="80" t="s">
        <v>105573</v>
      </c>
      <c r="F301" s="80" t="s">
        <v>105553</v>
      </c>
      <c r="G301" s="80" t="s">
        <v>105538</v>
      </c>
      <c r="H301" s="80" t="s">
        <v>105520</v>
      </c>
      <c r="I301" s="80"/>
      <c r="J301" s="80"/>
      <c r="K301" s="80"/>
      <c r="L301" s="80"/>
      <c r="M301" s="304" t="s">
        <v>107000</v>
      </c>
      <c r="N301" s="83"/>
      <c r="O301" s="83"/>
      <c r="P301" s="84"/>
      <c r="Q301" s="84"/>
      <c r="R301" s="85">
        <f>+R302</f>
        <v>148300000</v>
      </c>
      <c r="S301" s="86"/>
      <c r="T301" s="101"/>
    </row>
    <row r="302" spans="2:20" ht="30" x14ac:dyDescent="0.25">
      <c r="B302" s="80" t="s">
        <v>105516</v>
      </c>
      <c r="C302" s="80" t="s">
        <v>105924</v>
      </c>
      <c r="D302" s="80" t="s">
        <v>105520</v>
      </c>
      <c r="E302" s="80" t="s">
        <v>105573</v>
      </c>
      <c r="F302" s="80" t="s">
        <v>105553</v>
      </c>
      <c r="G302" s="80" t="s">
        <v>105538</v>
      </c>
      <c r="H302" s="80" t="s">
        <v>105520</v>
      </c>
      <c r="I302" s="80" t="s">
        <v>105576</v>
      </c>
      <c r="J302" s="80"/>
      <c r="K302" s="80"/>
      <c r="L302" s="80"/>
      <c r="M302" s="304" t="s">
        <v>107002</v>
      </c>
      <c r="N302" s="83"/>
      <c r="O302" s="83"/>
      <c r="P302" s="84"/>
      <c r="Q302" s="84"/>
      <c r="R302" s="85">
        <f>SUM(R303:R310)</f>
        <v>148300000</v>
      </c>
      <c r="S302" s="86"/>
      <c r="T302" s="101"/>
    </row>
    <row r="303" spans="2:20" ht="60" x14ac:dyDescent="0.25">
      <c r="B303" s="88"/>
      <c r="C303" s="335"/>
      <c r="D303" s="335"/>
      <c r="E303" s="335"/>
      <c r="F303" s="335"/>
      <c r="G303" s="335"/>
      <c r="H303" s="335"/>
      <c r="I303" s="335"/>
      <c r="J303" s="90"/>
      <c r="K303" s="90" t="s">
        <v>112567</v>
      </c>
      <c r="L303" s="91" t="s">
        <v>113295</v>
      </c>
      <c r="M303" s="102" t="s">
        <v>113296</v>
      </c>
      <c r="N303" s="93">
        <v>45536</v>
      </c>
      <c r="O303" s="93" t="s">
        <v>113078</v>
      </c>
      <c r="P303" s="94" t="s">
        <v>113007</v>
      </c>
      <c r="Q303" s="94" t="s">
        <v>113113</v>
      </c>
      <c r="R303" s="95">
        <f>35000000-35000000</f>
        <v>0</v>
      </c>
      <c r="S303" s="97"/>
      <c r="T303" s="98" t="s">
        <v>113019</v>
      </c>
    </row>
    <row r="304" spans="2:20" ht="75" x14ac:dyDescent="0.25">
      <c r="B304" s="138"/>
      <c r="C304" s="347"/>
      <c r="D304" s="347"/>
      <c r="E304" s="347"/>
      <c r="F304" s="347"/>
      <c r="G304" s="347"/>
      <c r="H304" s="347"/>
      <c r="I304" s="347"/>
      <c r="J304" s="140"/>
      <c r="K304" s="140" t="s">
        <v>112567</v>
      </c>
      <c r="L304" s="91">
        <v>80101500</v>
      </c>
      <c r="M304" s="92" t="s">
        <v>113146</v>
      </c>
      <c r="N304" s="93">
        <v>45323</v>
      </c>
      <c r="O304" s="93" t="s">
        <v>113037</v>
      </c>
      <c r="P304" s="94" t="s">
        <v>113011</v>
      </c>
      <c r="Q304" s="132" t="s">
        <v>113071</v>
      </c>
      <c r="R304" s="95">
        <v>35200000</v>
      </c>
      <c r="S304" s="97"/>
      <c r="T304" s="98" t="s">
        <v>113019</v>
      </c>
    </row>
    <row r="305" spans="1:20" ht="45" x14ac:dyDescent="0.25">
      <c r="B305" s="138"/>
      <c r="C305" s="347"/>
      <c r="D305" s="347"/>
      <c r="E305" s="347"/>
      <c r="F305" s="347"/>
      <c r="G305" s="347"/>
      <c r="H305" s="347"/>
      <c r="I305" s="347"/>
      <c r="J305" s="140"/>
      <c r="K305" s="140"/>
      <c r="L305" s="91">
        <v>80161500</v>
      </c>
      <c r="M305" s="92" t="s">
        <v>113394</v>
      </c>
      <c r="N305" s="93">
        <v>45384</v>
      </c>
      <c r="O305" s="93" t="s">
        <v>113006</v>
      </c>
      <c r="P305" s="94" t="s">
        <v>113155</v>
      </c>
      <c r="Q305" s="132" t="s">
        <v>113053</v>
      </c>
      <c r="R305" s="95">
        <f>20500000-20500000</f>
        <v>0</v>
      </c>
      <c r="S305" s="97"/>
      <c r="T305" s="98" t="s">
        <v>113054</v>
      </c>
    </row>
    <row r="306" spans="1:20" ht="93.75" customHeight="1" x14ac:dyDescent="0.25">
      <c r="B306" s="138"/>
      <c r="C306" s="347"/>
      <c r="D306" s="347"/>
      <c r="E306" s="347"/>
      <c r="F306" s="347"/>
      <c r="G306" s="347"/>
      <c r="H306" s="347"/>
      <c r="I306" s="347"/>
      <c r="J306" s="140"/>
      <c r="K306" s="140"/>
      <c r="L306" s="91">
        <v>80161500</v>
      </c>
      <c r="M306" s="92" t="s">
        <v>113395</v>
      </c>
      <c r="N306" s="93">
        <v>45447</v>
      </c>
      <c r="O306" s="93" t="s">
        <v>113208</v>
      </c>
      <c r="P306" s="94" t="s">
        <v>113002</v>
      </c>
      <c r="Q306" s="94" t="s">
        <v>113071</v>
      </c>
      <c r="R306" s="95">
        <v>20500000</v>
      </c>
      <c r="S306" s="97"/>
      <c r="T306" s="98" t="s">
        <v>113029</v>
      </c>
    </row>
    <row r="307" spans="1:20" ht="66.75" customHeight="1" x14ac:dyDescent="0.25">
      <c r="B307" s="138"/>
      <c r="C307" s="347"/>
      <c r="D307" s="347"/>
      <c r="E307" s="347"/>
      <c r="F307" s="347"/>
      <c r="G307" s="347"/>
      <c r="H307" s="347"/>
      <c r="I307" s="347"/>
      <c r="J307" s="140"/>
      <c r="K307" s="140" t="s">
        <v>112567</v>
      </c>
      <c r="L307" s="55">
        <v>80101500</v>
      </c>
      <c r="M307" s="102" t="s">
        <v>113147</v>
      </c>
      <c r="N307" s="93">
        <v>45323</v>
      </c>
      <c r="O307" s="93" t="s">
        <v>113037</v>
      </c>
      <c r="P307" s="94" t="s">
        <v>113011</v>
      </c>
      <c r="Q307" s="94" t="s">
        <v>113071</v>
      </c>
      <c r="R307" s="95">
        <v>35200000</v>
      </c>
      <c r="S307" s="97"/>
      <c r="T307" s="98" t="s">
        <v>113019</v>
      </c>
    </row>
    <row r="308" spans="1:20" ht="45" x14ac:dyDescent="0.25">
      <c r="B308" s="138"/>
      <c r="C308" s="347"/>
      <c r="D308" s="347"/>
      <c r="E308" s="347"/>
      <c r="F308" s="347"/>
      <c r="G308" s="347"/>
      <c r="H308" s="347"/>
      <c r="I308" s="347"/>
      <c r="J308" s="140"/>
      <c r="K308" s="140" t="s">
        <v>112567</v>
      </c>
      <c r="L308" s="55">
        <v>80101500</v>
      </c>
      <c r="M308" s="102" t="s">
        <v>113297</v>
      </c>
      <c r="N308" s="93">
        <v>45323</v>
      </c>
      <c r="O308" s="93" t="s">
        <v>113037</v>
      </c>
      <c r="P308" s="94" t="s">
        <v>113011</v>
      </c>
      <c r="Q308" s="94" t="s">
        <v>113071</v>
      </c>
      <c r="R308" s="95">
        <v>0</v>
      </c>
      <c r="S308" s="97"/>
      <c r="T308" s="98" t="s">
        <v>113019</v>
      </c>
    </row>
    <row r="309" spans="1:20" ht="30" x14ac:dyDescent="0.25">
      <c r="A309" s="15"/>
      <c r="B309" s="197"/>
      <c r="C309" s="357"/>
      <c r="D309" s="357"/>
      <c r="E309" s="357"/>
      <c r="F309" s="357"/>
      <c r="G309" s="357"/>
      <c r="H309" s="357"/>
      <c r="I309" s="357"/>
      <c r="J309" s="199"/>
      <c r="K309" s="199" t="s">
        <v>112567</v>
      </c>
      <c r="L309" s="181">
        <v>80161500</v>
      </c>
      <c r="M309" s="102" t="s">
        <v>113145</v>
      </c>
      <c r="N309" s="93">
        <v>45301</v>
      </c>
      <c r="O309" s="93" t="s">
        <v>113060</v>
      </c>
      <c r="P309" s="94" t="s">
        <v>113200</v>
      </c>
      <c r="Q309" s="94" t="s">
        <v>113053</v>
      </c>
      <c r="R309" s="95">
        <v>45100000</v>
      </c>
      <c r="S309" s="201"/>
      <c r="T309" s="202" t="s">
        <v>113000</v>
      </c>
    </row>
    <row r="310" spans="1:20" ht="91.5" customHeight="1" x14ac:dyDescent="0.25">
      <c r="B310" s="88"/>
      <c r="C310" s="335"/>
      <c r="D310" s="335"/>
      <c r="E310" s="335"/>
      <c r="F310" s="335"/>
      <c r="G310" s="335"/>
      <c r="H310" s="335"/>
      <c r="I310" s="335"/>
      <c r="J310" s="90"/>
      <c r="K310" s="90" t="s">
        <v>106997</v>
      </c>
      <c r="L310" s="55">
        <v>80101500</v>
      </c>
      <c r="M310" s="102" t="s">
        <v>113396</v>
      </c>
      <c r="N310" s="93">
        <v>45541</v>
      </c>
      <c r="O310" s="93" t="s">
        <v>113078</v>
      </c>
      <c r="P310" s="94" t="s">
        <v>112998</v>
      </c>
      <c r="Q310" s="94" t="s">
        <v>113053</v>
      </c>
      <c r="R310" s="95">
        <v>12300000</v>
      </c>
      <c r="S310" s="97"/>
      <c r="T310" s="92" t="s">
        <v>113000</v>
      </c>
    </row>
    <row r="311" spans="1:20" x14ac:dyDescent="0.25">
      <c r="B311" s="334" t="s">
        <v>105516</v>
      </c>
      <c r="C311" s="334" t="s">
        <v>105924</v>
      </c>
      <c r="D311" s="334" t="s">
        <v>105520</v>
      </c>
      <c r="E311" s="334" t="s">
        <v>105573</v>
      </c>
      <c r="F311" s="334" t="s">
        <v>105553</v>
      </c>
      <c r="G311" s="334" t="s">
        <v>105544</v>
      </c>
      <c r="H311" s="170"/>
      <c r="I311" s="170"/>
      <c r="J311" s="170"/>
      <c r="K311" s="171"/>
      <c r="L311" s="171"/>
      <c r="M311" s="307" t="s">
        <v>107054</v>
      </c>
      <c r="N311" s="173"/>
      <c r="O311" s="173"/>
      <c r="P311" s="174"/>
      <c r="Q311" s="174"/>
      <c r="R311" s="175">
        <f>SUM(R312+R316)</f>
        <v>2443034940</v>
      </c>
      <c r="S311" s="175"/>
      <c r="T311" s="175"/>
    </row>
    <row r="312" spans="1:20" x14ac:dyDescent="0.25">
      <c r="B312" s="80" t="s">
        <v>105516</v>
      </c>
      <c r="C312" s="80" t="s">
        <v>105924</v>
      </c>
      <c r="D312" s="80" t="s">
        <v>105520</v>
      </c>
      <c r="E312" s="80" t="s">
        <v>105573</v>
      </c>
      <c r="F312" s="80" t="s">
        <v>105553</v>
      </c>
      <c r="G312" s="80" t="s">
        <v>105544</v>
      </c>
      <c r="H312" s="80" t="s">
        <v>105573</v>
      </c>
      <c r="I312" s="80"/>
      <c r="J312" s="80"/>
      <c r="K312" s="80"/>
      <c r="L312" s="80"/>
      <c r="M312" s="304" t="s">
        <v>113148</v>
      </c>
      <c r="N312" s="83"/>
      <c r="O312" s="83"/>
      <c r="P312" s="84"/>
      <c r="Q312" s="84"/>
      <c r="R312" s="85">
        <f>SUM(R313:R315)</f>
        <v>330912042.60000002</v>
      </c>
      <c r="S312" s="86"/>
      <c r="T312" s="101"/>
    </row>
    <row r="313" spans="1:20" ht="45" x14ac:dyDescent="0.25">
      <c r="B313" s="88"/>
      <c r="C313" s="335"/>
      <c r="D313" s="335"/>
      <c r="E313" s="335"/>
      <c r="F313" s="335"/>
      <c r="G313" s="335"/>
      <c r="H313" s="335"/>
      <c r="I313" s="335"/>
      <c r="J313" s="90"/>
      <c r="K313" s="90"/>
      <c r="L313" s="204">
        <v>92121500</v>
      </c>
      <c r="M313" s="92" t="s">
        <v>113298</v>
      </c>
      <c r="N313" s="93">
        <v>45397</v>
      </c>
      <c r="O313" s="93" t="s">
        <v>113087</v>
      </c>
      <c r="P313" s="94" t="s">
        <v>113068</v>
      </c>
      <c r="Q313" s="94" t="s">
        <v>113096</v>
      </c>
      <c r="R313" s="95">
        <f>166380000-52316520</f>
        <v>114063480</v>
      </c>
      <c r="S313" s="324">
        <v>164940000</v>
      </c>
      <c r="T313" s="186" t="s">
        <v>113000</v>
      </c>
    </row>
    <row r="314" spans="1:20" ht="77.25" customHeight="1" x14ac:dyDescent="0.25">
      <c r="B314" s="88"/>
      <c r="C314" s="335"/>
      <c r="D314" s="335"/>
      <c r="E314" s="335"/>
      <c r="F314" s="335"/>
      <c r="G314" s="335"/>
      <c r="H314" s="335"/>
      <c r="I314" s="335"/>
      <c r="J314" s="90"/>
      <c r="K314" s="90"/>
      <c r="L314" s="91">
        <v>92121500</v>
      </c>
      <c r="M314" s="92" t="s">
        <v>113397</v>
      </c>
      <c r="N314" s="93">
        <v>45544</v>
      </c>
      <c r="O314" s="93" t="s">
        <v>113078</v>
      </c>
      <c r="P314" s="94" t="s">
        <v>113377</v>
      </c>
      <c r="Q314" s="94" t="s">
        <v>113150</v>
      </c>
      <c r="R314" s="95">
        <v>52316520</v>
      </c>
      <c r="S314" s="97"/>
      <c r="T314" s="98" t="s">
        <v>113000</v>
      </c>
    </row>
    <row r="315" spans="1:20" ht="45" x14ac:dyDescent="0.25">
      <c r="B315" s="138"/>
      <c r="C315" s="347"/>
      <c r="D315" s="347"/>
      <c r="E315" s="347"/>
      <c r="F315" s="347"/>
      <c r="G315" s="347"/>
      <c r="H315" s="347"/>
      <c r="I315" s="347"/>
      <c r="J315" s="140"/>
      <c r="K315" s="140"/>
      <c r="L315" s="204">
        <v>92121500</v>
      </c>
      <c r="M315" s="131" t="s">
        <v>113299</v>
      </c>
      <c r="N315" s="93"/>
      <c r="O315" s="93"/>
      <c r="P315" s="132"/>
      <c r="Q315" s="94"/>
      <c r="R315" s="95">
        <v>164532042.59999999</v>
      </c>
      <c r="S315" s="206"/>
      <c r="T315" s="98" t="s">
        <v>113000</v>
      </c>
    </row>
    <row r="316" spans="1:20" x14ac:dyDescent="0.25">
      <c r="B316" s="80" t="s">
        <v>105516</v>
      </c>
      <c r="C316" s="80" t="s">
        <v>105924</v>
      </c>
      <c r="D316" s="80" t="s">
        <v>105520</v>
      </c>
      <c r="E316" s="80" t="s">
        <v>105573</v>
      </c>
      <c r="F316" s="80" t="s">
        <v>105553</v>
      </c>
      <c r="G316" s="80" t="s">
        <v>105544</v>
      </c>
      <c r="H316" s="80" t="s">
        <v>105675</v>
      </c>
      <c r="I316" s="80"/>
      <c r="J316" s="80"/>
      <c r="K316" s="80"/>
      <c r="L316" s="80"/>
      <c r="M316" s="304" t="s">
        <v>107060</v>
      </c>
      <c r="N316" s="83"/>
      <c r="O316" s="83" t="s">
        <v>112995</v>
      </c>
      <c r="P316" s="84"/>
      <c r="Q316" s="84"/>
      <c r="R316" s="85">
        <f>SUM(R317:R326)</f>
        <v>2112122897.4000001</v>
      </c>
      <c r="S316" s="86"/>
      <c r="T316" s="101"/>
    </row>
    <row r="317" spans="1:20" ht="30" customHeight="1" x14ac:dyDescent="0.25">
      <c r="B317" s="138"/>
      <c r="C317" s="347"/>
      <c r="D317" s="347"/>
      <c r="E317" s="347"/>
      <c r="F317" s="347"/>
      <c r="G317" s="347"/>
      <c r="H317" s="347"/>
      <c r="I317" s="347"/>
      <c r="J317" s="140"/>
      <c r="K317" s="140" t="s">
        <v>112595</v>
      </c>
      <c r="L317" s="55">
        <v>76111500</v>
      </c>
      <c r="M317" s="92" t="s">
        <v>113300</v>
      </c>
      <c r="N317" s="93"/>
      <c r="O317" s="93"/>
      <c r="P317" s="132"/>
      <c r="Q317" s="94"/>
      <c r="R317" s="95">
        <f>560000000+6361000+7703000</f>
        <v>574064000</v>
      </c>
      <c r="S317" s="206"/>
      <c r="T317" s="98" t="s">
        <v>113000</v>
      </c>
    </row>
    <row r="318" spans="1:20" ht="60" customHeight="1" x14ac:dyDescent="0.25">
      <c r="B318" s="138"/>
      <c r="C318" s="347"/>
      <c r="D318" s="347"/>
      <c r="E318" s="347"/>
      <c r="F318" s="347"/>
      <c r="G318" s="347"/>
      <c r="H318" s="347"/>
      <c r="I318" s="347"/>
      <c r="J318" s="140"/>
      <c r="K318" s="140" t="s">
        <v>112595</v>
      </c>
      <c r="L318" s="55">
        <v>76111500</v>
      </c>
      <c r="M318" s="92" t="s">
        <v>113301</v>
      </c>
      <c r="N318" s="93"/>
      <c r="O318" s="93"/>
      <c r="P318" s="132"/>
      <c r="Q318" s="94"/>
      <c r="R318" s="95">
        <f>40450000+55319000</f>
        <v>95769000</v>
      </c>
      <c r="S318" s="206"/>
      <c r="T318" s="98" t="s">
        <v>113000</v>
      </c>
    </row>
    <row r="319" spans="1:20" ht="30" x14ac:dyDescent="0.25">
      <c r="B319" s="138"/>
      <c r="C319" s="347"/>
      <c r="D319" s="347"/>
      <c r="E319" s="347"/>
      <c r="F319" s="347"/>
      <c r="G319" s="347"/>
      <c r="H319" s="347"/>
      <c r="I319" s="347"/>
      <c r="J319" s="140"/>
      <c r="K319" s="140" t="s">
        <v>112595</v>
      </c>
      <c r="L319" s="55">
        <v>76111500</v>
      </c>
      <c r="M319" s="92" t="s">
        <v>113302</v>
      </c>
      <c r="N319" s="93">
        <v>45381</v>
      </c>
      <c r="O319" s="93" t="s">
        <v>113006</v>
      </c>
      <c r="P319" s="132" t="s">
        <v>113045</v>
      </c>
      <c r="Q319" s="94" t="s">
        <v>113041</v>
      </c>
      <c r="R319" s="95">
        <f>840000000-6361000-55319000</f>
        <v>778320000</v>
      </c>
      <c r="S319" s="206"/>
      <c r="T319" s="98" t="s">
        <v>113000</v>
      </c>
    </row>
    <row r="320" spans="1:20" ht="45" x14ac:dyDescent="0.25">
      <c r="B320" s="138"/>
      <c r="C320" s="347"/>
      <c r="D320" s="347"/>
      <c r="E320" s="347"/>
      <c r="F320" s="347"/>
      <c r="G320" s="347"/>
      <c r="H320" s="347"/>
      <c r="I320" s="347"/>
      <c r="J320" s="140"/>
      <c r="K320" s="140" t="s">
        <v>112595</v>
      </c>
      <c r="L320" s="55">
        <v>76111500</v>
      </c>
      <c r="M320" s="92" t="s">
        <v>113303</v>
      </c>
      <c r="N320" s="93">
        <v>45381</v>
      </c>
      <c r="O320" s="93" t="s">
        <v>113006</v>
      </c>
      <c r="P320" s="132" t="s">
        <v>113045</v>
      </c>
      <c r="Q320" s="94" t="s">
        <v>113041</v>
      </c>
      <c r="R320" s="95">
        <f>71872000+55000000+15134000+1847957.4</f>
        <v>143853957.40000001</v>
      </c>
      <c r="S320" s="206"/>
      <c r="T320" s="98" t="s">
        <v>113000</v>
      </c>
    </row>
    <row r="321" spans="2:20" ht="45" x14ac:dyDescent="0.25">
      <c r="B321" s="138"/>
      <c r="C321" s="347"/>
      <c r="D321" s="347"/>
      <c r="E321" s="347"/>
      <c r="F321" s="347"/>
      <c r="G321" s="347"/>
      <c r="H321" s="347"/>
      <c r="I321" s="347"/>
      <c r="J321" s="140"/>
      <c r="K321" s="140" t="s">
        <v>112595</v>
      </c>
      <c r="L321" s="55">
        <v>76111500</v>
      </c>
      <c r="M321" s="92" t="s">
        <v>113304</v>
      </c>
      <c r="N321" s="93">
        <v>45427</v>
      </c>
      <c r="O321" s="93" t="s">
        <v>113208</v>
      </c>
      <c r="P321" s="132" t="s">
        <v>113068</v>
      </c>
      <c r="Q321" s="94" t="s">
        <v>113041</v>
      </c>
      <c r="R321" s="95">
        <f>280000000+7032000-210490133.33-1346660-65741866.67</f>
        <v>9453339.9999999851</v>
      </c>
      <c r="S321" s="325">
        <v>912780000</v>
      </c>
      <c r="T321" s="98" t="s">
        <v>113000</v>
      </c>
    </row>
    <row r="322" spans="2:20" ht="77.25" customHeight="1" x14ac:dyDescent="0.25">
      <c r="B322" s="88"/>
      <c r="C322" s="335"/>
      <c r="D322" s="335"/>
      <c r="E322" s="335"/>
      <c r="F322" s="335"/>
      <c r="G322" s="335"/>
      <c r="H322" s="335"/>
      <c r="I322" s="335"/>
      <c r="J322" s="90"/>
      <c r="K322" s="90"/>
      <c r="L322" s="91">
        <v>76111500</v>
      </c>
      <c r="M322" s="92" t="s">
        <v>113398</v>
      </c>
      <c r="N322" s="93">
        <v>45544</v>
      </c>
      <c r="O322" s="93" t="s">
        <v>113078</v>
      </c>
      <c r="P322" s="94" t="s">
        <v>113377</v>
      </c>
      <c r="Q322" s="94" t="s">
        <v>113132</v>
      </c>
      <c r="R322" s="95">
        <f>210490133.33+76541866.67</f>
        <v>287032000</v>
      </c>
      <c r="S322" s="97"/>
      <c r="T322" s="98" t="s">
        <v>113000</v>
      </c>
    </row>
    <row r="323" spans="2:20" ht="45" x14ac:dyDescent="0.25">
      <c r="B323" s="138"/>
      <c r="C323" s="347"/>
      <c r="D323" s="347"/>
      <c r="E323" s="347"/>
      <c r="F323" s="347"/>
      <c r="G323" s="347"/>
      <c r="H323" s="347"/>
      <c r="I323" s="347"/>
      <c r="J323" s="140"/>
      <c r="K323" s="140" t="s">
        <v>112595</v>
      </c>
      <c r="L323" s="55">
        <v>76111500</v>
      </c>
      <c r="M323" s="92" t="s">
        <v>113305</v>
      </c>
      <c r="N323" s="93">
        <v>45427</v>
      </c>
      <c r="O323" s="93" t="s">
        <v>113208</v>
      </c>
      <c r="P323" s="132" t="s">
        <v>113068</v>
      </c>
      <c r="Q323" s="94" t="s">
        <v>113041</v>
      </c>
      <c r="R323" s="95">
        <f>22460000+30394000-37878700-14975300</f>
        <v>0</v>
      </c>
      <c r="S323" s="325">
        <v>168180000</v>
      </c>
      <c r="T323" s="98" t="s">
        <v>113000</v>
      </c>
    </row>
    <row r="324" spans="2:20" ht="77.25" customHeight="1" x14ac:dyDescent="0.25">
      <c r="B324" s="88"/>
      <c r="C324" s="335"/>
      <c r="D324" s="335"/>
      <c r="E324" s="335"/>
      <c r="F324" s="335"/>
      <c r="G324" s="335"/>
      <c r="H324" s="335"/>
      <c r="I324" s="335"/>
      <c r="J324" s="90"/>
      <c r="K324" s="90"/>
      <c r="L324" s="91">
        <v>76111500</v>
      </c>
      <c r="M324" s="92" t="s">
        <v>113399</v>
      </c>
      <c r="N324" s="93">
        <v>45544</v>
      </c>
      <c r="O324" s="93" t="s">
        <v>113078</v>
      </c>
      <c r="P324" s="94" t="s">
        <v>113377</v>
      </c>
      <c r="Q324" s="94" t="s">
        <v>113132</v>
      </c>
      <c r="R324" s="95">
        <f>37878700+880900</f>
        <v>38759600</v>
      </c>
      <c r="S324" s="97"/>
      <c r="T324" s="98" t="s">
        <v>113000</v>
      </c>
    </row>
    <row r="325" spans="2:20" ht="45" x14ac:dyDescent="0.25">
      <c r="B325" s="138"/>
      <c r="C325" s="347"/>
      <c r="D325" s="347"/>
      <c r="E325" s="347"/>
      <c r="F325" s="347"/>
      <c r="G325" s="347"/>
      <c r="H325" s="347"/>
      <c r="I325" s="347"/>
      <c r="J325" s="140"/>
      <c r="K325" s="140" t="s">
        <v>112595</v>
      </c>
      <c r="L325" s="91" t="s">
        <v>113153</v>
      </c>
      <c r="M325" s="92" t="s">
        <v>113154</v>
      </c>
      <c r="N325" s="93">
        <v>45413</v>
      </c>
      <c r="O325" s="93" t="s">
        <v>113208</v>
      </c>
      <c r="P325" s="132" t="s">
        <v>113155</v>
      </c>
      <c r="Q325" s="94" t="s">
        <v>113096</v>
      </c>
      <c r="R325" s="95">
        <f>80000000-7703000-7032000-30394000</f>
        <v>34871000</v>
      </c>
      <c r="S325" s="206"/>
      <c r="T325" s="98" t="s">
        <v>113000</v>
      </c>
    </row>
    <row r="326" spans="2:20" ht="45" x14ac:dyDescent="0.25">
      <c r="B326" s="138"/>
      <c r="C326" s="347"/>
      <c r="D326" s="347"/>
      <c r="E326" s="347"/>
      <c r="F326" s="347"/>
      <c r="G326" s="347"/>
      <c r="H326" s="347"/>
      <c r="I326" s="347"/>
      <c r="J326" s="140"/>
      <c r="K326" s="140" t="s">
        <v>112595</v>
      </c>
      <c r="L326" s="55">
        <v>72102100</v>
      </c>
      <c r="M326" s="92" t="s">
        <v>113156</v>
      </c>
      <c r="N326" s="93">
        <v>45413</v>
      </c>
      <c r="O326" s="93" t="s">
        <v>113208</v>
      </c>
      <c r="P326" s="94" t="s">
        <v>113155</v>
      </c>
      <c r="Q326" s="94" t="s">
        <v>113096</v>
      </c>
      <c r="R326" s="95">
        <v>150000000</v>
      </c>
      <c r="S326" s="206"/>
      <c r="T326" s="98" t="s">
        <v>113000</v>
      </c>
    </row>
    <row r="327" spans="2:20" ht="30" x14ac:dyDescent="0.25">
      <c r="B327" s="334" t="s">
        <v>105516</v>
      </c>
      <c r="C327" s="334" t="s">
        <v>105924</v>
      </c>
      <c r="D327" s="334" t="s">
        <v>105520</v>
      </c>
      <c r="E327" s="334" t="s">
        <v>105573</v>
      </c>
      <c r="F327" s="334" t="s">
        <v>105553</v>
      </c>
      <c r="G327" s="334" t="s">
        <v>105550</v>
      </c>
      <c r="H327" s="170"/>
      <c r="I327" s="170"/>
      <c r="J327" s="170"/>
      <c r="K327" s="171"/>
      <c r="L327" s="171"/>
      <c r="M327" s="307" t="s">
        <v>107092</v>
      </c>
      <c r="N327" s="173"/>
      <c r="O327" s="173" t="s">
        <v>112995</v>
      </c>
      <c r="P327" s="174"/>
      <c r="Q327" s="174"/>
      <c r="R327" s="175">
        <f>+R328</f>
        <v>25008800</v>
      </c>
      <c r="S327" s="175"/>
      <c r="T327" s="175"/>
    </row>
    <row r="328" spans="2:20" ht="30" x14ac:dyDescent="0.25">
      <c r="B328" s="80" t="s">
        <v>105516</v>
      </c>
      <c r="C328" s="80" t="s">
        <v>105924</v>
      </c>
      <c r="D328" s="80" t="s">
        <v>105520</v>
      </c>
      <c r="E328" s="80" t="s">
        <v>105573</v>
      </c>
      <c r="F328" s="80" t="s">
        <v>105553</v>
      </c>
      <c r="G328" s="80" t="s">
        <v>105550</v>
      </c>
      <c r="H328" s="80" t="s">
        <v>105520</v>
      </c>
      <c r="I328" s="80"/>
      <c r="J328" s="80"/>
      <c r="K328" s="80"/>
      <c r="L328" s="80"/>
      <c r="M328" s="304" t="s">
        <v>107094</v>
      </c>
      <c r="N328" s="83"/>
      <c r="O328" s="83" t="s">
        <v>112995</v>
      </c>
      <c r="P328" s="84"/>
      <c r="Q328" s="84"/>
      <c r="R328" s="85">
        <f>+R329</f>
        <v>25008800</v>
      </c>
      <c r="S328" s="86"/>
      <c r="T328" s="101"/>
    </row>
    <row r="329" spans="2:20" ht="30" x14ac:dyDescent="0.25">
      <c r="B329" s="80" t="s">
        <v>105516</v>
      </c>
      <c r="C329" s="80" t="s">
        <v>105924</v>
      </c>
      <c r="D329" s="80" t="s">
        <v>105520</v>
      </c>
      <c r="E329" s="80" t="s">
        <v>105573</v>
      </c>
      <c r="F329" s="80" t="s">
        <v>105553</v>
      </c>
      <c r="G329" s="80" t="s">
        <v>105550</v>
      </c>
      <c r="H329" s="80" t="s">
        <v>105520</v>
      </c>
      <c r="I329" s="80" t="s">
        <v>106217</v>
      </c>
      <c r="J329" s="80"/>
      <c r="K329" s="80"/>
      <c r="L329" s="80"/>
      <c r="M329" s="304" t="s">
        <v>107104</v>
      </c>
      <c r="N329" s="83"/>
      <c r="O329" s="83" t="s">
        <v>112995</v>
      </c>
      <c r="P329" s="84"/>
      <c r="Q329" s="84"/>
      <c r="R329" s="85">
        <f>SUM(R330:R331)</f>
        <v>25008800</v>
      </c>
      <c r="S329" s="86"/>
      <c r="T329" s="101"/>
    </row>
    <row r="330" spans="2:20" ht="45" x14ac:dyDescent="0.25">
      <c r="B330" s="88"/>
      <c r="C330" s="335"/>
      <c r="D330" s="335"/>
      <c r="E330" s="335"/>
      <c r="F330" s="335"/>
      <c r="G330" s="335"/>
      <c r="H330" s="335"/>
      <c r="I330" s="335"/>
      <c r="J330" s="90"/>
      <c r="K330" s="90" t="s">
        <v>112614</v>
      </c>
      <c r="L330" s="91" t="s">
        <v>113244</v>
      </c>
      <c r="M330" s="92" t="s">
        <v>113158</v>
      </c>
      <c r="N330" s="93">
        <v>45425</v>
      </c>
      <c r="O330" s="93" t="s">
        <v>113087</v>
      </c>
      <c r="P330" s="94" t="s">
        <v>113028</v>
      </c>
      <c r="Q330" s="94" t="s">
        <v>113038</v>
      </c>
      <c r="R330" s="95">
        <f>116456800-80000000-11448000</f>
        <v>25008800</v>
      </c>
      <c r="S330" s="97"/>
      <c r="T330" s="98" t="s">
        <v>113019</v>
      </c>
    </row>
    <row r="331" spans="2:20" ht="45" x14ac:dyDescent="0.25">
      <c r="B331" s="138"/>
      <c r="C331" s="347"/>
      <c r="D331" s="347"/>
      <c r="E331" s="347"/>
      <c r="F331" s="347"/>
      <c r="G331" s="347"/>
      <c r="H331" s="347"/>
      <c r="I331" s="347"/>
      <c r="J331" s="347"/>
      <c r="K331" s="347" t="s">
        <v>112614</v>
      </c>
      <c r="L331" s="207">
        <v>73152100</v>
      </c>
      <c r="M331" s="120" t="s">
        <v>113157</v>
      </c>
      <c r="N331" s="121">
        <v>45444</v>
      </c>
      <c r="O331" s="93" t="s">
        <v>113010</v>
      </c>
      <c r="P331" s="94" t="s">
        <v>113007</v>
      </c>
      <c r="Q331" s="132" t="s">
        <v>112999</v>
      </c>
      <c r="R331" s="95">
        <f>55000000-55000000</f>
        <v>0</v>
      </c>
      <c r="S331" s="97"/>
      <c r="T331" s="98" t="s">
        <v>113000</v>
      </c>
    </row>
    <row r="332" spans="2:20" x14ac:dyDescent="0.25">
      <c r="B332" s="63" t="s">
        <v>105516</v>
      </c>
      <c r="C332" s="63" t="s">
        <v>105924</v>
      </c>
      <c r="D332" s="63" t="s">
        <v>105520</v>
      </c>
      <c r="E332" s="63" t="s">
        <v>105573</v>
      </c>
      <c r="F332" s="63" t="s">
        <v>105556</v>
      </c>
      <c r="G332" s="63"/>
      <c r="H332" s="63"/>
      <c r="I332" s="63"/>
      <c r="J332" s="63"/>
      <c r="K332" s="64"/>
      <c r="L332" s="65"/>
      <c r="M332" s="306" t="s">
        <v>107164</v>
      </c>
      <c r="N332" s="67"/>
      <c r="O332" s="67"/>
      <c r="P332" s="68"/>
      <c r="Q332" s="68"/>
      <c r="R332" s="69">
        <f>+R333</f>
        <v>4866000</v>
      </c>
      <c r="S332" s="70"/>
      <c r="T332" s="71"/>
    </row>
    <row r="333" spans="2:20" ht="63.75" customHeight="1" x14ac:dyDescent="0.25">
      <c r="B333" s="334" t="s">
        <v>105516</v>
      </c>
      <c r="C333" s="334" t="s">
        <v>105924</v>
      </c>
      <c r="D333" s="334" t="s">
        <v>105520</v>
      </c>
      <c r="E333" s="334" t="s">
        <v>105573</v>
      </c>
      <c r="F333" s="342" t="s">
        <v>105556</v>
      </c>
      <c r="G333" s="342" t="s">
        <v>105541</v>
      </c>
      <c r="H333" s="170"/>
      <c r="I333" s="170"/>
      <c r="J333" s="170"/>
      <c r="K333" s="171"/>
      <c r="L333" s="171"/>
      <c r="M333" s="307" t="s">
        <v>107192</v>
      </c>
      <c r="N333" s="173"/>
      <c r="O333" s="173"/>
      <c r="P333" s="174"/>
      <c r="Q333" s="174"/>
      <c r="R333" s="175">
        <f>+R334</f>
        <v>4866000</v>
      </c>
      <c r="S333" s="175"/>
      <c r="T333" s="175"/>
    </row>
    <row r="334" spans="2:20" ht="28.5" customHeight="1" x14ac:dyDescent="0.25">
      <c r="B334" s="80" t="s">
        <v>105516</v>
      </c>
      <c r="C334" s="80" t="s">
        <v>105924</v>
      </c>
      <c r="D334" s="80" t="s">
        <v>105520</v>
      </c>
      <c r="E334" s="80" t="s">
        <v>105573</v>
      </c>
      <c r="F334" s="81" t="s">
        <v>105556</v>
      </c>
      <c r="G334" s="81" t="s">
        <v>105541</v>
      </c>
      <c r="H334" s="81" t="s">
        <v>106109</v>
      </c>
      <c r="I334" s="80"/>
      <c r="J334" s="80"/>
      <c r="K334" s="80"/>
      <c r="L334" s="80"/>
      <c r="M334" s="304" t="s">
        <v>107204</v>
      </c>
      <c r="N334" s="83"/>
      <c r="O334" s="83"/>
      <c r="P334" s="84"/>
      <c r="Q334" s="84"/>
      <c r="R334" s="85">
        <f>+R335</f>
        <v>4866000</v>
      </c>
      <c r="S334" s="86"/>
      <c r="T334" s="101"/>
    </row>
    <row r="335" spans="2:20" ht="60" x14ac:dyDescent="0.25">
      <c r="B335" s="88"/>
      <c r="C335" s="335"/>
      <c r="D335" s="335"/>
      <c r="E335" s="335"/>
      <c r="F335" s="335"/>
      <c r="G335" s="335"/>
      <c r="H335" s="335"/>
      <c r="I335" s="335"/>
      <c r="J335" s="90"/>
      <c r="K335" s="90"/>
      <c r="L335" s="91" t="s">
        <v>113306</v>
      </c>
      <c r="M335" s="92" t="s">
        <v>113307</v>
      </c>
      <c r="N335" s="93">
        <v>45444</v>
      </c>
      <c r="O335" s="93" t="s">
        <v>113010</v>
      </c>
      <c r="P335" s="94" t="s">
        <v>113007</v>
      </c>
      <c r="Q335" s="94" t="s">
        <v>113052</v>
      </c>
      <c r="R335" s="95">
        <f>20000000-15134000</f>
        <v>4866000</v>
      </c>
      <c r="S335" s="97"/>
      <c r="T335" s="98" t="s">
        <v>113000</v>
      </c>
    </row>
    <row r="336" spans="2:20" x14ac:dyDescent="0.25">
      <c r="B336" s="358" t="s">
        <v>105516</v>
      </c>
      <c r="C336" s="358" t="s">
        <v>106103</v>
      </c>
      <c r="D336" s="358"/>
      <c r="E336" s="358"/>
      <c r="F336" s="358"/>
      <c r="G336" s="358"/>
      <c r="H336" s="358"/>
      <c r="I336" s="358"/>
      <c r="J336" s="358"/>
      <c r="K336" s="209"/>
      <c r="L336" s="210"/>
      <c r="M336" s="359" t="s">
        <v>112750</v>
      </c>
      <c r="N336" s="212"/>
      <c r="O336" s="212" t="s">
        <v>112995</v>
      </c>
      <c r="P336" s="213"/>
      <c r="Q336" s="213"/>
      <c r="R336" s="360">
        <f>R337+R342</f>
        <v>1978000000</v>
      </c>
      <c r="S336" s="361"/>
      <c r="T336" s="361"/>
    </row>
    <row r="337" spans="2:20" x14ac:dyDescent="0.25">
      <c r="B337" s="358" t="s">
        <v>105516</v>
      </c>
      <c r="C337" s="358" t="s">
        <v>106103</v>
      </c>
      <c r="D337" s="358" t="s">
        <v>105520</v>
      </c>
      <c r="E337" s="358"/>
      <c r="F337" s="358"/>
      <c r="G337" s="358"/>
      <c r="H337" s="358"/>
      <c r="I337" s="358"/>
      <c r="J337" s="358"/>
      <c r="K337" s="209"/>
      <c r="L337" s="210"/>
      <c r="M337" s="359" t="s">
        <v>113400</v>
      </c>
      <c r="N337" s="212"/>
      <c r="O337" s="212" t="s">
        <v>112995</v>
      </c>
      <c r="P337" s="213"/>
      <c r="Q337" s="213"/>
      <c r="R337" s="360">
        <f>R338+R340</f>
        <v>158000000</v>
      </c>
      <c r="S337" s="361"/>
      <c r="T337" s="361"/>
    </row>
    <row r="338" spans="2:20" x14ac:dyDescent="0.25">
      <c r="B338" s="362" t="s">
        <v>105516</v>
      </c>
      <c r="C338" s="362" t="s">
        <v>106103</v>
      </c>
      <c r="D338" s="362" t="s">
        <v>105520</v>
      </c>
      <c r="E338" s="362" t="s">
        <v>105520</v>
      </c>
      <c r="F338" s="363"/>
      <c r="G338" s="363"/>
      <c r="H338" s="363"/>
      <c r="I338" s="363"/>
      <c r="J338" s="363"/>
      <c r="K338" s="218"/>
      <c r="L338" s="218"/>
      <c r="M338" s="364" t="s">
        <v>112754</v>
      </c>
      <c r="N338" s="220"/>
      <c r="O338" s="220" t="s">
        <v>112995</v>
      </c>
      <c r="P338" s="221"/>
      <c r="Q338" s="221"/>
      <c r="R338" s="222">
        <f>+R339</f>
        <v>60000000</v>
      </c>
      <c r="S338" s="222"/>
      <c r="T338" s="222"/>
    </row>
    <row r="339" spans="2:20" x14ac:dyDescent="0.25">
      <c r="B339" s="365"/>
      <c r="C339" s="365"/>
      <c r="D339" s="365"/>
      <c r="E339" s="365"/>
      <c r="F339" s="366"/>
      <c r="G339" s="366"/>
      <c r="H339" s="366"/>
      <c r="I339" s="366"/>
      <c r="J339" s="366"/>
      <c r="K339" s="90" t="s">
        <v>112751</v>
      </c>
      <c r="L339" s="228"/>
      <c r="M339" s="102" t="s">
        <v>112754</v>
      </c>
      <c r="N339" s="94"/>
      <c r="O339" s="94"/>
      <c r="P339" s="94"/>
      <c r="Q339" s="94"/>
      <c r="R339" s="95">
        <f>71000000-11000000</f>
        <v>60000000</v>
      </c>
      <c r="S339" s="201"/>
      <c r="T339" s="202" t="s">
        <v>113012</v>
      </c>
    </row>
    <row r="340" spans="2:20" x14ac:dyDescent="0.25">
      <c r="B340" s="362" t="s">
        <v>105516</v>
      </c>
      <c r="C340" s="362" t="s">
        <v>106103</v>
      </c>
      <c r="D340" s="362" t="s">
        <v>105520</v>
      </c>
      <c r="E340" s="362" t="s">
        <v>105573</v>
      </c>
      <c r="F340" s="363"/>
      <c r="G340" s="363"/>
      <c r="H340" s="363"/>
      <c r="I340" s="363"/>
      <c r="J340" s="363"/>
      <c r="K340" s="218"/>
      <c r="L340" s="218"/>
      <c r="M340" s="364" t="s">
        <v>112756</v>
      </c>
      <c r="N340" s="220"/>
      <c r="O340" s="220" t="s">
        <v>112995</v>
      </c>
      <c r="P340" s="221"/>
      <c r="Q340" s="221"/>
      <c r="R340" s="367">
        <f>R341</f>
        <v>98000000</v>
      </c>
      <c r="S340" s="223"/>
      <c r="T340" s="224"/>
    </row>
    <row r="341" spans="2:20" x14ac:dyDescent="0.25">
      <c r="B341" s="608"/>
      <c r="C341" s="609"/>
      <c r="D341" s="609"/>
      <c r="E341" s="609"/>
      <c r="F341" s="609"/>
      <c r="G341" s="609"/>
      <c r="H341" s="609"/>
      <c r="I341" s="609"/>
      <c r="J341" s="609"/>
      <c r="K341" s="609"/>
      <c r="L341" s="610"/>
      <c r="M341" s="102" t="s">
        <v>112756</v>
      </c>
      <c r="N341" s="94"/>
      <c r="O341" s="94"/>
      <c r="P341" s="94"/>
      <c r="Q341" s="94"/>
      <c r="R341" s="99">
        <f>47000000+40000000+11000000</f>
        <v>98000000</v>
      </c>
      <c r="S341" s="201"/>
      <c r="T341" s="202" t="s">
        <v>113012</v>
      </c>
    </row>
    <row r="342" spans="2:20" x14ac:dyDescent="0.25">
      <c r="B342" s="362" t="s">
        <v>105516</v>
      </c>
      <c r="C342" s="362" t="s">
        <v>106103</v>
      </c>
      <c r="D342" s="362" t="s">
        <v>105675</v>
      </c>
      <c r="E342" s="363"/>
      <c r="F342" s="363"/>
      <c r="G342" s="363"/>
      <c r="H342" s="363"/>
      <c r="I342" s="363"/>
      <c r="J342" s="363"/>
      <c r="K342" s="218"/>
      <c r="L342" s="218"/>
      <c r="M342" s="364" t="s">
        <v>112762</v>
      </c>
      <c r="N342" s="220"/>
      <c r="O342" s="220" t="s">
        <v>112995</v>
      </c>
      <c r="P342" s="221"/>
      <c r="Q342" s="221"/>
      <c r="R342" s="222">
        <f>+R343</f>
        <v>1820000000</v>
      </c>
      <c r="S342" s="223"/>
      <c r="T342" s="224"/>
    </row>
    <row r="343" spans="2:20" x14ac:dyDescent="0.25">
      <c r="B343" s="368"/>
      <c r="C343" s="366"/>
      <c r="D343" s="366"/>
      <c r="E343" s="366"/>
      <c r="F343" s="366"/>
      <c r="G343" s="366"/>
      <c r="H343" s="366"/>
      <c r="I343" s="366"/>
      <c r="J343" s="369"/>
      <c r="K343" s="90" t="s">
        <v>112761</v>
      </c>
      <c r="L343" s="228"/>
      <c r="M343" s="102" t="s">
        <v>113159</v>
      </c>
      <c r="N343" s="94"/>
      <c r="O343" s="94" t="s">
        <v>113031</v>
      </c>
      <c r="P343" s="94"/>
      <c r="Q343" s="94"/>
      <c r="R343" s="95">
        <f>5600000000-2280000000-900000000-600000000</f>
        <v>1820000000</v>
      </c>
      <c r="S343" s="201"/>
      <c r="T343" s="202" t="s">
        <v>113064</v>
      </c>
    </row>
    <row r="344" spans="2:20" ht="44.25" customHeight="1" x14ac:dyDescent="0.25">
      <c r="B344" s="229" t="s">
        <v>105516</v>
      </c>
      <c r="C344" s="229" t="s">
        <v>106106</v>
      </c>
      <c r="D344" s="229"/>
      <c r="E344" s="229"/>
      <c r="F344" s="229"/>
      <c r="G344" s="229"/>
      <c r="H344" s="229"/>
      <c r="I344" s="229"/>
      <c r="J344" s="229"/>
      <c r="K344" s="230"/>
      <c r="L344" s="231"/>
      <c r="M344" s="370" t="s">
        <v>112766</v>
      </c>
      <c r="N344" s="233"/>
      <c r="O344" s="233" t="s">
        <v>112995</v>
      </c>
      <c r="P344" s="234"/>
      <c r="Q344" s="234"/>
      <c r="R344" s="235">
        <f>R345+R353+R356</f>
        <v>3821000000</v>
      </c>
      <c r="S344" s="235"/>
      <c r="T344" s="235"/>
    </row>
    <row r="345" spans="2:20" x14ac:dyDescent="0.25">
      <c r="B345" s="238" t="s">
        <v>105516</v>
      </c>
      <c r="C345" s="238" t="s">
        <v>106106</v>
      </c>
      <c r="D345" s="238" t="s">
        <v>105520</v>
      </c>
      <c r="E345" s="238"/>
      <c r="F345" s="238"/>
      <c r="G345" s="238"/>
      <c r="H345" s="238"/>
      <c r="I345" s="238"/>
      <c r="J345" s="238"/>
      <c r="K345" s="239"/>
      <c r="L345" s="239"/>
      <c r="M345" s="371" t="s">
        <v>112768</v>
      </c>
      <c r="N345" s="241"/>
      <c r="O345" s="241" t="s">
        <v>112995</v>
      </c>
      <c r="P345" s="242"/>
      <c r="Q345" s="242"/>
      <c r="R345" s="243">
        <f>R346</f>
        <v>3586000000</v>
      </c>
      <c r="S345" s="243"/>
      <c r="T345" s="243"/>
    </row>
    <row r="346" spans="2:20" x14ac:dyDescent="0.25">
      <c r="B346" s="246" t="s">
        <v>105516</v>
      </c>
      <c r="C346" s="246" t="s">
        <v>106106</v>
      </c>
      <c r="D346" s="246" t="s">
        <v>105520</v>
      </c>
      <c r="E346" s="246" t="s">
        <v>105573</v>
      </c>
      <c r="F346" s="246"/>
      <c r="G346" s="246"/>
      <c r="H346" s="246"/>
      <c r="I346" s="246"/>
      <c r="J346" s="246"/>
      <c r="K346" s="247"/>
      <c r="L346" s="247"/>
      <c r="M346" s="372" t="s">
        <v>112780</v>
      </c>
      <c r="N346" s="249"/>
      <c r="O346" s="249" t="s">
        <v>112995</v>
      </c>
      <c r="P346" s="250"/>
      <c r="Q346" s="250"/>
      <c r="R346" s="251">
        <f>R347+R349+R351</f>
        <v>3586000000</v>
      </c>
      <c r="S346" s="251"/>
      <c r="T346" s="251"/>
    </row>
    <row r="347" spans="2:20" x14ac:dyDescent="0.25">
      <c r="B347" s="334" t="s">
        <v>105516</v>
      </c>
      <c r="C347" s="334" t="s">
        <v>106106</v>
      </c>
      <c r="D347" s="334" t="s">
        <v>105520</v>
      </c>
      <c r="E347" s="334" t="s">
        <v>105573</v>
      </c>
      <c r="F347" s="334" t="s">
        <v>105528</v>
      </c>
      <c r="G347" s="254"/>
      <c r="H347" s="254"/>
      <c r="I347" s="254"/>
      <c r="J347" s="254"/>
      <c r="K347" s="65"/>
      <c r="L347" s="65"/>
      <c r="M347" s="306" t="s">
        <v>112782</v>
      </c>
      <c r="N347" s="67"/>
      <c r="O347" s="67" t="s">
        <v>112995</v>
      </c>
      <c r="P347" s="68"/>
      <c r="Q347" s="68"/>
      <c r="R347" s="69">
        <f>+R348</f>
        <v>3492000000</v>
      </c>
      <c r="S347" s="70"/>
      <c r="T347" s="71"/>
    </row>
    <row r="348" spans="2:20" x14ac:dyDescent="0.25">
      <c r="B348" s="88"/>
      <c r="C348" s="335"/>
      <c r="D348" s="335"/>
      <c r="E348" s="335"/>
      <c r="F348" s="335"/>
      <c r="G348" s="335"/>
      <c r="H348" s="335"/>
      <c r="I348" s="335"/>
      <c r="J348" s="90"/>
      <c r="K348" s="90" t="s">
        <v>112781</v>
      </c>
      <c r="L348" s="228"/>
      <c r="M348" s="102" t="str">
        <f>+M347</f>
        <v>IMPUESTO PREDIAL Y SOBRETASA AMBIENTAL</v>
      </c>
      <c r="N348" s="94"/>
      <c r="O348" s="94"/>
      <c r="P348" s="94"/>
      <c r="Q348" s="94"/>
      <c r="R348" s="205">
        <v>3492000000</v>
      </c>
      <c r="S348" s="256"/>
      <c r="T348" s="202"/>
    </row>
    <row r="349" spans="2:20" x14ac:dyDescent="0.25">
      <c r="B349" s="334" t="s">
        <v>105516</v>
      </c>
      <c r="C349" s="334" t="s">
        <v>106106</v>
      </c>
      <c r="D349" s="334" t="s">
        <v>105520</v>
      </c>
      <c r="E349" s="334" t="s">
        <v>105573</v>
      </c>
      <c r="F349" s="334" t="s">
        <v>105538</v>
      </c>
      <c r="G349" s="254"/>
      <c r="H349" s="254"/>
      <c r="I349" s="254"/>
      <c r="J349" s="254"/>
      <c r="K349" s="65"/>
      <c r="L349" s="65"/>
      <c r="M349" s="306" t="s">
        <v>112786</v>
      </c>
      <c r="N349" s="67"/>
      <c r="O349" s="67" t="s">
        <v>112995</v>
      </c>
      <c r="P349" s="68"/>
      <c r="Q349" s="68"/>
      <c r="R349" s="69">
        <f>+R350</f>
        <v>90000000</v>
      </c>
      <c r="S349" s="70"/>
      <c r="T349" s="71"/>
    </row>
    <row r="350" spans="2:20" ht="15" customHeight="1" x14ac:dyDescent="0.25">
      <c r="B350" s="88"/>
      <c r="C350" s="335"/>
      <c r="D350" s="335"/>
      <c r="E350" s="335"/>
      <c r="F350" s="335"/>
      <c r="G350" s="335"/>
      <c r="H350" s="335"/>
      <c r="I350" s="335"/>
      <c r="J350" s="90"/>
      <c r="K350" s="90" t="s">
        <v>112785</v>
      </c>
      <c r="L350" s="128"/>
      <c r="M350" s="92" t="str">
        <f>+M349</f>
        <v>IMPUESTO DE INDUSTRIA Y COMERCIO</v>
      </c>
      <c r="N350" s="94"/>
      <c r="O350" s="94"/>
      <c r="P350" s="94" t="s">
        <v>112995</v>
      </c>
      <c r="Q350" s="94"/>
      <c r="R350" s="95">
        <v>90000000</v>
      </c>
      <c r="S350" s="97"/>
      <c r="T350" s="98"/>
    </row>
    <row r="351" spans="2:20" x14ac:dyDescent="0.25">
      <c r="B351" s="334" t="s">
        <v>105516</v>
      </c>
      <c r="C351" s="334" t="s">
        <v>106106</v>
      </c>
      <c r="D351" s="334" t="s">
        <v>105520</v>
      </c>
      <c r="E351" s="334" t="s">
        <v>105573</v>
      </c>
      <c r="F351" s="334" t="s">
        <v>105547</v>
      </c>
      <c r="G351" s="254"/>
      <c r="H351" s="254"/>
      <c r="I351" s="254"/>
      <c r="J351" s="254"/>
      <c r="K351" s="65"/>
      <c r="L351" s="65"/>
      <c r="M351" s="306" t="s">
        <v>112792</v>
      </c>
      <c r="N351" s="67"/>
      <c r="O351" s="67" t="s">
        <v>112995</v>
      </c>
      <c r="P351" s="68"/>
      <c r="Q351" s="68"/>
      <c r="R351" s="69">
        <f>+R352</f>
        <v>4000000</v>
      </c>
      <c r="S351" s="70"/>
      <c r="T351" s="71"/>
    </row>
    <row r="352" spans="2:20" x14ac:dyDescent="0.25">
      <c r="B352" s="88"/>
      <c r="C352" s="335"/>
      <c r="D352" s="335"/>
      <c r="E352" s="335"/>
      <c r="F352" s="335"/>
      <c r="G352" s="335"/>
      <c r="H352" s="335"/>
      <c r="I352" s="335"/>
      <c r="J352" s="90"/>
      <c r="K352" s="90" t="s">
        <v>112791</v>
      </c>
      <c r="L352" s="128"/>
      <c r="M352" s="92" t="str">
        <f>+M351</f>
        <v>IMPUESTO SOBRE VEHÍCULOS AUTOMOTORES</v>
      </c>
      <c r="N352" s="94"/>
      <c r="O352" s="94"/>
      <c r="P352" s="94"/>
      <c r="Q352" s="94"/>
      <c r="R352" s="95">
        <v>4000000</v>
      </c>
      <c r="S352" s="97"/>
      <c r="T352" s="98"/>
    </row>
    <row r="353" spans="2:20" x14ac:dyDescent="0.25">
      <c r="B353" s="238" t="s">
        <v>105516</v>
      </c>
      <c r="C353" s="238" t="s">
        <v>106106</v>
      </c>
      <c r="D353" s="238" t="s">
        <v>105917</v>
      </c>
      <c r="E353" s="238"/>
      <c r="F353" s="238"/>
      <c r="G353" s="238"/>
      <c r="H353" s="238"/>
      <c r="I353" s="238"/>
      <c r="J353" s="238"/>
      <c r="K353" s="239"/>
      <c r="L353" s="239"/>
      <c r="M353" s="371" t="s">
        <v>112804</v>
      </c>
      <c r="N353" s="241"/>
      <c r="O353" s="241" t="s">
        <v>112995</v>
      </c>
      <c r="P353" s="242"/>
      <c r="Q353" s="242"/>
      <c r="R353" s="243">
        <f>+R354+R355</f>
        <v>182000000</v>
      </c>
      <c r="S353" s="243"/>
      <c r="T353" s="243"/>
    </row>
    <row r="354" spans="2:20" x14ac:dyDescent="0.25">
      <c r="B354" s="334" t="s">
        <v>105516</v>
      </c>
      <c r="C354" s="334" t="s">
        <v>106106</v>
      </c>
      <c r="D354" s="334" t="s">
        <v>105917</v>
      </c>
      <c r="E354" s="334" t="s">
        <v>105520</v>
      </c>
      <c r="F354" s="246"/>
      <c r="G354" s="246"/>
      <c r="H354" s="246"/>
      <c r="I354" s="246"/>
      <c r="J354" s="246"/>
      <c r="K354" s="257" t="s">
        <v>112805</v>
      </c>
      <c r="L354" s="247"/>
      <c r="M354" s="372" t="s">
        <v>112806</v>
      </c>
      <c r="N354" s="249" t="s">
        <v>112995</v>
      </c>
      <c r="O354" s="249" t="s">
        <v>113031</v>
      </c>
      <c r="P354" s="250"/>
      <c r="Q354" s="250"/>
      <c r="R354" s="258">
        <v>136000000</v>
      </c>
      <c r="S354" s="259"/>
      <c r="T354" s="259"/>
    </row>
    <row r="355" spans="2:20" x14ac:dyDescent="0.25">
      <c r="B355" s="334" t="s">
        <v>105516</v>
      </c>
      <c r="C355" s="334" t="s">
        <v>106106</v>
      </c>
      <c r="D355" s="334" t="s">
        <v>105917</v>
      </c>
      <c r="E355" s="334" t="s">
        <v>105917</v>
      </c>
      <c r="F355" s="246"/>
      <c r="G355" s="246"/>
      <c r="H355" s="246"/>
      <c r="I355" s="246"/>
      <c r="J355" s="246"/>
      <c r="K355" s="257" t="s">
        <v>112811</v>
      </c>
      <c r="L355" s="247"/>
      <c r="M355" s="372" t="s">
        <v>113162</v>
      </c>
      <c r="N355" s="249"/>
      <c r="O355" s="249"/>
      <c r="P355" s="250"/>
      <c r="Q355" s="250"/>
      <c r="R355" s="258">
        <f>246000000-200000000</f>
        <v>46000000</v>
      </c>
      <c r="S355" s="259"/>
      <c r="T355" s="259"/>
    </row>
    <row r="356" spans="2:20" x14ac:dyDescent="0.25">
      <c r="B356" s="238" t="s">
        <v>105516</v>
      </c>
      <c r="C356" s="238" t="s">
        <v>106106</v>
      </c>
      <c r="D356" s="260" t="s">
        <v>105924</v>
      </c>
      <c r="E356" s="238"/>
      <c r="F356" s="238"/>
      <c r="G356" s="238"/>
      <c r="H356" s="238"/>
      <c r="I356" s="238"/>
      <c r="J356" s="238"/>
      <c r="K356" s="238"/>
      <c r="L356" s="239"/>
      <c r="M356" s="371" t="s">
        <v>112822</v>
      </c>
      <c r="N356" s="241"/>
      <c r="O356" s="241" t="s">
        <v>112995</v>
      </c>
      <c r="P356" s="242"/>
      <c r="Q356" s="242"/>
      <c r="R356" s="243">
        <f>R357</f>
        <v>53000000</v>
      </c>
      <c r="S356" s="243"/>
      <c r="T356" s="243"/>
    </row>
    <row r="357" spans="2:20" x14ac:dyDescent="0.25">
      <c r="B357" s="246" t="s">
        <v>105516</v>
      </c>
      <c r="C357" s="246" t="s">
        <v>106106</v>
      </c>
      <c r="D357" s="261" t="s">
        <v>105924</v>
      </c>
      <c r="E357" s="246"/>
      <c r="F357" s="246"/>
      <c r="G357" s="246"/>
      <c r="H357" s="246"/>
      <c r="I357" s="246"/>
      <c r="J357" s="246"/>
      <c r="K357" s="247"/>
      <c r="L357" s="247"/>
      <c r="M357" s="372" t="s">
        <v>112822</v>
      </c>
      <c r="N357" s="249" t="s">
        <v>112995</v>
      </c>
      <c r="O357" s="249" t="s">
        <v>113031</v>
      </c>
      <c r="P357" s="250"/>
      <c r="Q357" s="250"/>
      <c r="R357" s="258">
        <f>R358+R360</f>
        <v>53000000</v>
      </c>
      <c r="S357" s="259"/>
      <c r="T357" s="259"/>
    </row>
    <row r="358" spans="2:20" x14ac:dyDescent="0.25">
      <c r="B358" s="278" t="s">
        <v>105516</v>
      </c>
      <c r="C358" s="278" t="s">
        <v>106106</v>
      </c>
      <c r="D358" s="373" t="s">
        <v>105924</v>
      </c>
      <c r="E358" s="309" t="s">
        <v>105520</v>
      </c>
      <c r="F358" s="278"/>
      <c r="G358" s="278"/>
      <c r="H358" s="278"/>
      <c r="I358" s="278"/>
      <c r="J358" s="278"/>
      <c r="K358" s="279"/>
      <c r="L358" s="279"/>
      <c r="M358" s="374" t="s">
        <v>112824</v>
      </c>
      <c r="N358" s="281" t="s">
        <v>112995</v>
      </c>
      <c r="O358" s="281" t="s">
        <v>113031</v>
      </c>
      <c r="P358" s="282"/>
      <c r="Q358" s="282"/>
      <c r="R358" s="375">
        <f>R359</f>
        <v>40000000</v>
      </c>
      <c r="S358" s="376"/>
      <c r="T358" s="376"/>
    </row>
    <row r="359" spans="2:20" x14ac:dyDescent="0.25">
      <c r="B359" s="334" t="s">
        <v>105516</v>
      </c>
      <c r="C359" s="334" t="s">
        <v>106106</v>
      </c>
      <c r="D359" s="352" t="s">
        <v>105924</v>
      </c>
      <c r="E359" s="342" t="s">
        <v>105520</v>
      </c>
      <c r="F359" s="342" t="s">
        <v>105538</v>
      </c>
      <c r="G359" s="246"/>
      <c r="H359" s="246"/>
      <c r="I359" s="246"/>
      <c r="J359" s="246"/>
      <c r="K359" s="247"/>
      <c r="L359" s="247"/>
      <c r="M359" s="372" t="s">
        <v>112830</v>
      </c>
      <c r="N359" s="249" t="s">
        <v>112995</v>
      </c>
      <c r="O359" s="249" t="s">
        <v>113031</v>
      </c>
      <c r="P359" s="250"/>
      <c r="Q359" s="250"/>
      <c r="R359" s="258">
        <v>40000000</v>
      </c>
      <c r="S359" s="259"/>
      <c r="T359" s="259"/>
    </row>
    <row r="360" spans="2:20" x14ac:dyDescent="0.25">
      <c r="B360" s="278" t="s">
        <v>105516</v>
      </c>
      <c r="C360" s="278" t="s">
        <v>106106</v>
      </c>
      <c r="D360" s="373" t="s">
        <v>105924</v>
      </c>
      <c r="E360" s="309" t="s">
        <v>105573</v>
      </c>
      <c r="F360" s="309"/>
      <c r="G360" s="278"/>
      <c r="H360" s="278"/>
      <c r="I360" s="278"/>
      <c r="J360" s="278"/>
      <c r="K360" s="279"/>
      <c r="L360" s="279"/>
      <c r="M360" s="374" t="s">
        <v>112832</v>
      </c>
      <c r="N360" s="281" t="s">
        <v>112995</v>
      </c>
      <c r="O360" s="281" t="s">
        <v>113031</v>
      </c>
      <c r="P360" s="282"/>
      <c r="Q360" s="282"/>
      <c r="R360" s="375">
        <f>R361</f>
        <v>13000000</v>
      </c>
      <c r="S360" s="376"/>
      <c r="T360" s="376"/>
    </row>
    <row r="361" spans="2:20" x14ac:dyDescent="0.25">
      <c r="B361" s="334" t="s">
        <v>105516</v>
      </c>
      <c r="C361" s="334" t="s">
        <v>106106</v>
      </c>
      <c r="D361" s="352" t="s">
        <v>105924</v>
      </c>
      <c r="E361" s="342" t="s">
        <v>105573</v>
      </c>
      <c r="F361" s="342" t="s">
        <v>105528</v>
      </c>
      <c r="G361" s="246"/>
      <c r="H361" s="246"/>
      <c r="I361" s="246"/>
      <c r="J361" s="246"/>
      <c r="K361" s="247"/>
      <c r="L361" s="247"/>
      <c r="M361" s="372" t="s">
        <v>112834</v>
      </c>
      <c r="N361" s="249" t="s">
        <v>112995</v>
      </c>
      <c r="O361" s="249" t="s">
        <v>113031</v>
      </c>
      <c r="P361" s="250"/>
      <c r="Q361" s="250"/>
      <c r="R361" s="258">
        <v>13000000</v>
      </c>
      <c r="S361" s="259"/>
      <c r="T361" s="259"/>
    </row>
    <row r="362" spans="2:20" x14ac:dyDescent="0.25">
      <c r="B362" s="262" t="s">
        <v>113163</v>
      </c>
      <c r="C362" s="262"/>
      <c r="D362" s="262"/>
      <c r="E362" s="262"/>
      <c r="F362" s="262"/>
      <c r="G362" s="262"/>
      <c r="H362" s="262"/>
      <c r="I362" s="262"/>
      <c r="J362" s="262"/>
      <c r="K362" s="263"/>
      <c r="L362" s="263"/>
      <c r="M362" s="377" t="s">
        <v>113164</v>
      </c>
      <c r="N362" s="265"/>
      <c r="O362" s="265" t="s">
        <v>112995</v>
      </c>
      <c r="P362" s="266"/>
      <c r="Q362" s="266"/>
      <c r="R362" s="267">
        <f>+R363</f>
        <v>38560000000</v>
      </c>
      <c r="S362" s="267"/>
      <c r="T362" s="267"/>
    </row>
    <row r="363" spans="2:20" ht="29.25" customHeight="1" x14ac:dyDescent="0.25">
      <c r="B363" s="270" t="s">
        <v>113163</v>
      </c>
      <c r="C363" s="270">
        <v>1505</v>
      </c>
      <c r="D363" s="270"/>
      <c r="E363" s="270"/>
      <c r="F363" s="270"/>
      <c r="G363" s="270"/>
      <c r="H363" s="270"/>
      <c r="I363" s="270"/>
      <c r="J363" s="270"/>
      <c r="K363" s="271"/>
      <c r="L363" s="271"/>
      <c r="M363" s="378" t="s">
        <v>113166</v>
      </c>
      <c r="N363" s="273"/>
      <c r="O363" s="273" t="s">
        <v>112995</v>
      </c>
      <c r="P363" s="274"/>
      <c r="Q363" s="274"/>
      <c r="R363" s="275">
        <f>+R364</f>
        <v>38560000000</v>
      </c>
      <c r="S363" s="275"/>
      <c r="T363" s="275"/>
    </row>
    <row r="364" spans="2:20" x14ac:dyDescent="0.25">
      <c r="B364" s="278" t="s">
        <v>113163</v>
      </c>
      <c r="C364" s="278">
        <v>1505</v>
      </c>
      <c r="D364" s="309" t="s">
        <v>113167</v>
      </c>
      <c r="E364" s="278"/>
      <c r="F364" s="278"/>
      <c r="G364" s="278"/>
      <c r="H364" s="278"/>
      <c r="I364" s="278"/>
      <c r="J364" s="278"/>
      <c r="K364" s="279"/>
      <c r="L364" s="279"/>
      <c r="M364" s="374" t="s">
        <v>113168</v>
      </c>
      <c r="N364" s="281"/>
      <c r="O364" s="281" t="s">
        <v>112995</v>
      </c>
      <c r="P364" s="282"/>
      <c r="Q364" s="282"/>
      <c r="R364" s="283">
        <f>R365+R395</f>
        <v>38560000000</v>
      </c>
      <c r="S364" s="283"/>
      <c r="T364" s="283"/>
    </row>
    <row r="365" spans="2:20" ht="32.25" customHeight="1" x14ac:dyDescent="0.25">
      <c r="B365" s="254" t="s">
        <v>113163</v>
      </c>
      <c r="C365" s="254">
        <v>1505</v>
      </c>
      <c r="D365" s="254" t="s">
        <v>113167</v>
      </c>
      <c r="E365" s="308" t="s">
        <v>105675</v>
      </c>
      <c r="F365" s="254"/>
      <c r="G365" s="254"/>
      <c r="H365" s="254"/>
      <c r="I365" s="254"/>
      <c r="J365" s="254"/>
      <c r="K365" s="65"/>
      <c r="L365" s="65"/>
      <c r="M365" s="306" t="s">
        <v>113401</v>
      </c>
      <c r="N365" s="67"/>
      <c r="O365" s="67" t="s">
        <v>112995</v>
      </c>
      <c r="P365" s="68"/>
      <c r="Q365" s="68"/>
      <c r="R365" s="69">
        <f>R366</f>
        <v>20795000000</v>
      </c>
      <c r="S365" s="70"/>
      <c r="T365" s="71"/>
    </row>
    <row r="366" spans="2:20" ht="41.25" customHeight="1" x14ac:dyDescent="0.25">
      <c r="B366" s="254" t="s">
        <v>113163</v>
      </c>
      <c r="C366" s="254">
        <v>1505</v>
      </c>
      <c r="D366" s="254" t="s">
        <v>113167</v>
      </c>
      <c r="E366" s="308" t="s">
        <v>105675</v>
      </c>
      <c r="F366" s="254" t="s">
        <v>113226</v>
      </c>
      <c r="G366" s="254"/>
      <c r="H366" s="254"/>
      <c r="I366" s="254"/>
      <c r="J366" s="254"/>
      <c r="K366" s="65"/>
      <c r="L366" s="65"/>
      <c r="M366" s="306" t="s">
        <v>113402</v>
      </c>
      <c r="N366" s="67"/>
      <c r="O366" s="67"/>
      <c r="P366" s="68"/>
      <c r="Q366" s="68"/>
      <c r="R366" s="69">
        <f>R367</f>
        <v>20795000000</v>
      </c>
      <c r="S366" s="70"/>
      <c r="T366" s="71"/>
    </row>
    <row r="367" spans="2:20" ht="63.75" customHeight="1" x14ac:dyDescent="0.25">
      <c r="B367" s="379" t="s">
        <v>113163</v>
      </c>
      <c r="C367" s="379">
        <v>1505</v>
      </c>
      <c r="D367" s="379" t="s">
        <v>113167</v>
      </c>
      <c r="E367" s="380" t="s">
        <v>105675</v>
      </c>
      <c r="F367" s="379" t="s">
        <v>113226</v>
      </c>
      <c r="G367" s="379">
        <v>1505006</v>
      </c>
      <c r="H367" s="289"/>
      <c r="I367" s="289"/>
      <c r="J367" s="289"/>
      <c r="K367" s="289"/>
      <c r="L367" s="289"/>
      <c r="M367" s="331" t="s">
        <v>113403</v>
      </c>
      <c r="N367" s="290"/>
      <c r="O367" s="290" t="s">
        <v>112995</v>
      </c>
      <c r="P367" s="291"/>
      <c r="Q367" s="291"/>
      <c r="R367" s="296">
        <f>R368</f>
        <v>20795000000</v>
      </c>
      <c r="S367" s="297"/>
      <c r="T367" s="298"/>
    </row>
    <row r="368" spans="2:20" ht="63.75" customHeight="1" x14ac:dyDescent="0.25">
      <c r="B368" s="381" t="s">
        <v>113163</v>
      </c>
      <c r="C368" s="381">
        <v>1505</v>
      </c>
      <c r="D368" s="381" t="s">
        <v>113167</v>
      </c>
      <c r="E368" s="382" t="s">
        <v>105675</v>
      </c>
      <c r="F368" s="381" t="s">
        <v>113226</v>
      </c>
      <c r="G368" s="381">
        <v>1505006</v>
      </c>
      <c r="H368" s="381" t="s">
        <v>105573</v>
      </c>
      <c r="I368" s="381"/>
      <c r="J368" s="381"/>
      <c r="K368" s="381"/>
      <c r="L368" s="381"/>
      <c r="M368" s="383" t="s">
        <v>113404</v>
      </c>
      <c r="N368" s="83"/>
      <c r="O368" s="83"/>
      <c r="P368" s="84"/>
      <c r="Q368" s="84"/>
      <c r="R368" s="85">
        <f>SUM(R369:R394)</f>
        <v>20795000000</v>
      </c>
      <c r="S368" s="86"/>
      <c r="T368" s="384"/>
    </row>
    <row r="369" spans="2:20" ht="27" customHeight="1" x14ac:dyDescent="0.25">
      <c r="B369" s="88"/>
      <c r="C369" s="335"/>
      <c r="D369" s="335"/>
      <c r="E369" s="335"/>
      <c r="F369" s="335"/>
      <c r="G369" s="335"/>
      <c r="H369" s="335"/>
      <c r="I369" s="335"/>
      <c r="J369" s="90"/>
      <c r="K369" s="90" t="s">
        <v>113185</v>
      </c>
      <c r="L369" s="385" t="s">
        <v>113170</v>
      </c>
      <c r="M369" s="92" t="s">
        <v>113183</v>
      </c>
      <c r="N369" s="93">
        <v>45163</v>
      </c>
      <c r="O369" s="93" t="s">
        <v>113010</v>
      </c>
      <c r="P369" s="94" t="s">
        <v>113022</v>
      </c>
      <c r="Q369" s="94" t="s">
        <v>113308</v>
      </c>
      <c r="R369" s="118">
        <f>1160000000+364924765</f>
        <v>1524924765</v>
      </c>
      <c r="S369" s="141"/>
      <c r="T369" s="92" t="s">
        <v>113173</v>
      </c>
    </row>
    <row r="370" spans="2:20" ht="38.25" customHeight="1" x14ac:dyDescent="0.25">
      <c r="B370" s="88"/>
      <c r="C370" s="335"/>
      <c r="D370" s="335"/>
      <c r="E370" s="335"/>
      <c r="F370" s="335"/>
      <c r="G370" s="335"/>
      <c r="H370" s="335"/>
      <c r="I370" s="335"/>
      <c r="J370" s="90"/>
      <c r="K370" s="90" t="s">
        <v>113185</v>
      </c>
      <c r="L370" s="55">
        <v>81101500</v>
      </c>
      <c r="M370" s="92" t="s">
        <v>113186</v>
      </c>
      <c r="N370" s="93">
        <v>45222</v>
      </c>
      <c r="O370" s="93" t="s">
        <v>113070</v>
      </c>
      <c r="P370" s="94" t="s">
        <v>113022</v>
      </c>
      <c r="Q370" s="94" t="s">
        <v>113309</v>
      </c>
      <c r="R370" s="118">
        <f>177400000+39348068</f>
        <v>216748068</v>
      </c>
      <c r="S370" s="141"/>
      <c r="T370" s="92" t="s">
        <v>113173</v>
      </c>
    </row>
    <row r="371" spans="2:20" ht="44.25" customHeight="1" x14ac:dyDescent="0.25">
      <c r="B371" s="88"/>
      <c r="C371" s="335"/>
      <c r="D371" s="335"/>
      <c r="E371" s="335"/>
      <c r="F371" s="335"/>
      <c r="G371" s="335"/>
      <c r="H371" s="335"/>
      <c r="I371" s="335"/>
      <c r="J371" s="90"/>
      <c r="K371" s="90" t="s">
        <v>113185</v>
      </c>
      <c r="L371" s="91" t="s">
        <v>113170</v>
      </c>
      <c r="M371" s="92" t="s">
        <v>113189</v>
      </c>
      <c r="N371" s="93">
        <v>45163</v>
      </c>
      <c r="O371" s="93" t="s">
        <v>113060</v>
      </c>
      <c r="P371" s="94" t="s">
        <v>113022</v>
      </c>
      <c r="Q371" s="94" t="s">
        <v>113308</v>
      </c>
      <c r="R371" s="118">
        <f>1754000000-364924765-39348068-6166041</f>
        <v>1343561126</v>
      </c>
      <c r="S371" s="141"/>
      <c r="T371" s="92" t="s">
        <v>113173</v>
      </c>
    </row>
    <row r="372" spans="2:20" ht="30" x14ac:dyDescent="0.25">
      <c r="B372" s="88"/>
      <c r="C372" s="335"/>
      <c r="D372" s="335"/>
      <c r="E372" s="335"/>
      <c r="F372" s="335"/>
      <c r="G372" s="335"/>
      <c r="H372" s="335"/>
      <c r="I372" s="335"/>
      <c r="J372" s="90"/>
      <c r="K372" s="90" t="s">
        <v>113185</v>
      </c>
      <c r="L372" s="55">
        <v>81101500</v>
      </c>
      <c r="M372" s="92" t="s">
        <v>113190</v>
      </c>
      <c r="N372" s="93">
        <v>45222</v>
      </c>
      <c r="O372" s="93" t="s">
        <v>113060</v>
      </c>
      <c r="P372" s="94" t="s">
        <v>113022</v>
      </c>
      <c r="Q372" s="94" t="s">
        <v>113309</v>
      </c>
      <c r="R372" s="118">
        <f>178500000+6166041+21943297.82</f>
        <v>206609338.81999999</v>
      </c>
      <c r="S372" s="141"/>
      <c r="T372" s="92" t="s">
        <v>113173</v>
      </c>
    </row>
    <row r="373" spans="2:20" ht="25.5" customHeight="1" x14ac:dyDescent="0.25">
      <c r="B373" s="88"/>
      <c r="C373" s="335"/>
      <c r="D373" s="335"/>
      <c r="E373" s="335"/>
      <c r="F373" s="335"/>
      <c r="G373" s="335"/>
      <c r="H373" s="335"/>
      <c r="I373" s="335"/>
      <c r="J373" s="90"/>
      <c r="K373" s="90" t="s">
        <v>113185</v>
      </c>
      <c r="L373" s="91" t="s">
        <v>113170</v>
      </c>
      <c r="M373" s="92" t="s">
        <v>113321</v>
      </c>
      <c r="N373" s="93">
        <v>45163</v>
      </c>
      <c r="O373" s="93" t="s">
        <v>113060</v>
      </c>
      <c r="P373" s="94" t="s">
        <v>113022</v>
      </c>
      <c r="Q373" s="94" t="s">
        <v>113308</v>
      </c>
      <c r="R373" s="118">
        <f>1655616086.67-21943297.82-43835356.02-195000000-404845.31</f>
        <v>1394432587.5200002</v>
      </c>
      <c r="S373" s="141"/>
      <c r="T373" s="92" t="s">
        <v>113173</v>
      </c>
    </row>
    <row r="374" spans="2:20" ht="24" customHeight="1" x14ac:dyDescent="0.25">
      <c r="B374" s="88"/>
      <c r="C374" s="335"/>
      <c r="D374" s="335"/>
      <c r="E374" s="335"/>
      <c r="F374" s="335"/>
      <c r="G374" s="335"/>
      <c r="H374" s="335"/>
      <c r="I374" s="335"/>
      <c r="J374" s="90"/>
      <c r="K374" s="90" t="s">
        <v>113185</v>
      </c>
      <c r="L374" s="91">
        <v>81101500</v>
      </c>
      <c r="M374" s="92" t="s">
        <v>113322</v>
      </c>
      <c r="N374" s="93">
        <v>45222</v>
      </c>
      <c r="O374" s="93" t="s">
        <v>113060</v>
      </c>
      <c r="P374" s="94" t="s">
        <v>113022</v>
      </c>
      <c r="Q374" s="94" t="s">
        <v>113309</v>
      </c>
      <c r="R374" s="118">
        <f>160005447.8+43835356.02</f>
        <v>203840803.82000002</v>
      </c>
      <c r="S374" s="141"/>
      <c r="T374" s="92" t="s">
        <v>113173</v>
      </c>
    </row>
    <row r="375" spans="2:20" ht="36.75" customHeight="1" x14ac:dyDescent="0.25">
      <c r="B375" s="88"/>
      <c r="C375" s="335"/>
      <c r="D375" s="335"/>
      <c r="E375" s="335"/>
      <c r="F375" s="335"/>
      <c r="G375" s="335"/>
      <c r="H375" s="335"/>
      <c r="I375" s="335"/>
      <c r="J375" s="90"/>
      <c r="K375" s="90" t="s">
        <v>113185</v>
      </c>
      <c r="L375" s="91" t="s">
        <v>113170</v>
      </c>
      <c r="M375" s="92" t="s">
        <v>113323</v>
      </c>
      <c r="N375" s="93">
        <v>45651</v>
      </c>
      <c r="O375" s="93" t="s">
        <v>113060</v>
      </c>
      <c r="P375" s="94" t="s">
        <v>113022</v>
      </c>
      <c r="Q375" s="94" t="s">
        <v>113308</v>
      </c>
      <c r="R375" s="118">
        <f>2900000000-7147237-29002880-16094179-270578490.23</f>
        <v>2577177213.77</v>
      </c>
      <c r="S375" s="141"/>
      <c r="T375" s="92" t="s">
        <v>113173</v>
      </c>
    </row>
    <row r="376" spans="2:20" ht="24" customHeight="1" x14ac:dyDescent="0.25">
      <c r="B376" s="88"/>
      <c r="C376" s="335"/>
      <c r="D376" s="335"/>
      <c r="E376" s="335"/>
      <c r="F376" s="335"/>
      <c r="G376" s="335"/>
      <c r="H376" s="335"/>
      <c r="I376" s="335"/>
      <c r="J376" s="90"/>
      <c r="K376" s="90" t="s">
        <v>113185</v>
      </c>
      <c r="L376" s="91">
        <v>81101500</v>
      </c>
      <c r="M376" s="92" t="s">
        <v>113324</v>
      </c>
      <c r="N376" s="93">
        <v>45651</v>
      </c>
      <c r="O376" s="93" t="s">
        <v>113060</v>
      </c>
      <c r="P376" s="94" t="s">
        <v>113022</v>
      </c>
      <c r="Q376" s="94" t="s">
        <v>113309</v>
      </c>
      <c r="R376" s="118">
        <f>300000000+8833032+1166968-99010</f>
        <v>309900990</v>
      </c>
      <c r="S376" s="141"/>
      <c r="T376" s="92" t="s">
        <v>113173</v>
      </c>
    </row>
    <row r="377" spans="2:20" ht="33.75" customHeight="1" x14ac:dyDescent="0.25">
      <c r="B377" s="88"/>
      <c r="C377" s="335"/>
      <c r="D377" s="335"/>
      <c r="E377" s="335"/>
      <c r="F377" s="335"/>
      <c r="G377" s="335"/>
      <c r="H377" s="335"/>
      <c r="I377" s="335"/>
      <c r="J377" s="90"/>
      <c r="K377" s="90" t="s">
        <v>113185</v>
      </c>
      <c r="L377" s="91" t="s">
        <v>113170</v>
      </c>
      <c r="M377" s="92" t="s">
        <v>113325</v>
      </c>
      <c r="N377" s="93">
        <v>45651</v>
      </c>
      <c r="O377" s="93" t="s">
        <v>113060</v>
      </c>
      <c r="P377" s="94" t="s">
        <v>113022</v>
      </c>
      <c r="Q377" s="94" t="s">
        <v>113308</v>
      </c>
      <c r="R377" s="118">
        <f>2800000000+88483032-32946210.15-22400607.85</f>
        <v>2833136214</v>
      </c>
      <c r="S377" s="141"/>
      <c r="T377" s="92" t="s">
        <v>113173</v>
      </c>
    </row>
    <row r="378" spans="2:20" ht="26.25" customHeight="1" x14ac:dyDescent="0.25">
      <c r="B378" s="88"/>
      <c r="C378" s="335"/>
      <c r="D378" s="335"/>
      <c r="E378" s="335"/>
      <c r="F378" s="335"/>
      <c r="G378" s="335"/>
      <c r="H378" s="335"/>
      <c r="I378" s="335"/>
      <c r="J378" s="90"/>
      <c r="K378" s="90" t="s">
        <v>113185</v>
      </c>
      <c r="L378" s="91">
        <v>81101500</v>
      </c>
      <c r="M378" s="92" t="s">
        <v>113326</v>
      </c>
      <c r="N378" s="93">
        <v>45651</v>
      </c>
      <c r="O378" s="93" t="s">
        <v>113060</v>
      </c>
      <c r="P378" s="94" t="s">
        <v>113022</v>
      </c>
      <c r="Q378" s="94" t="s">
        <v>113309</v>
      </c>
      <c r="R378" s="118">
        <f>290000000+7147237+22852763</f>
        <v>320000000</v>
      </c>
      <c r="S378" s="141"/>
      <c r="T378" s="92" t="s">
        <v>113173</v>
      </c>
    </row>
    <row r="379" spans="2:20" ht="24" customHeight="1" x14ac:dyDescent="0.25">
      <c r="B379" s="88"/>
      <c r="C379" s="335"/>
      <c r="D379" s="335"/>
      <c r="E379" s="335"/>
      <c r="F379" s="335"/>
      <c r="G379" s="335"/>
      <c r="H379" s="335"/>
      <c r="I379" s="335"/>
      <c r="J379" s="90"/>
      <c r="K379" s="90" t="s">
        <v>113185</v>
      </c>
      <c r="L379" s="91" t="s">
        <v>113170</v>
      </c>
      <c r="M379" s="92" t="s">
        <v>113327</v>
      </c>
      <c r="N379" s="93">
        <v>45651</v>
      </c>
      <c r="O379" s="93" t="s">
        <v>113203</v>
      </c>
      <c r="P379" s="94" t="s">
        <v>113022</v>
      </c>
      <c r="Q379" s="94" t="s">
        <v>113308</v>
      </c>
      <c r="R379" s="118">
        <f>2400000000-8833032-22852763-51203229.67</f>
        <v>2317110975.3299999</v>
      </c>
      <c r="S379" s="141"/>
      <c r="T379" s="92" t="s">
        <v>113173</v>
      </c>
    </row>
    <row r="380" spans="2:20" ht="26.25" customHeight="1" x14ac:dyDescent="0.25">
      <c r="B380" s="88"/>
      <c r="C380" s="335"/>
      <c r="D380" s="335"/>
      <c r="E380" s="335"/>
      <c r="F380" s="335"/>
      <c r="G380" s="335"/>
      <c r="H380" s="335"/>
      <c r="I380" s="335"/>
      <c r="J380" s="90"/>
      <c r="K380" s="90" t="s">
        <v>113185</v>
      </c>
      <c r="L380" s="91">
        <v>81101500</v>
      </c>
      <c r="M380" s="92" t="s">
        <v>113328</v>
      </c>
      <c r="N380" s="93">
        <v>45651</v>
      </c>
      <c r="O380" s="93" t="s">
        <v>113203</v>
      </c>
      <c r="P380" s="94" t="s">
        <v>113022</v>
      </c>
      <c r="Q380" s="94" t="s">
        <v>113309</v>
      </c>
      <c r="R380" s="118">
        <f>270000000+29002880-4297000</f>
        <v>294705880</v>
      </c>
      <c r="S380" s="141"/>
      <c r="T380" s="92" t="s">
        <v>113173</v>
      </c>
    </row>
    <row r="381" spans="2:20" ht="27.75" customHeight="1" x14ac:dyDescent="0.25">
      <c r="B381" s="88"/>
      <c r="C381" s="335"/>
      <c r="D381" s="335"/>
      <c r="E381" s="335"/>
      <c r="F381" s="335"/>
      <c r="G381" s="335"/>
      <c r="H381" s="335"/>
      <c r="I381" s="335"/>
      <c r="J381" s="90"/>
      <c r="K381" s="90" t="s">
        <v>113185</v>
      </c>
      <c r="L381" s="91" t="s">
        <v>113170</v>
      </c>
      <c r="M381" s="92" t="s">
        <v>113187</v>
      </c>
      <c r="N381" s="93">
        <v>45651</v>
      </c>
      <c r="O381" s="93" t="s">
        <v>113203</v>
      </c>
      <c r="P381" s="94" t="s">
        <v>113022</v>
      </c>
      <c r="Q381" s="94" t="s">
        <v>113308</v>
      </c>
      <c r="R381" s="118">
        <f>2900000000-1166968-88483032-266883700.62</f>
        <v>2543466299.3800001</v>
      </c>
      <c r="S381" s="141"/>
      <c r="T381" s="92" t="s">
        <v>113173</v>
      </c>
    </row>
    <row r="382" spans="2:20" ht="30" x14ac:dyDescent="0.25">
      <c r="B382" s="88"/>
      <c r="C382" s="335"/>
      <c r="D382" s="335"/>
      <c r="E382" s="335"/>
      <c r="F382" s="335"/>
      <c r="G382" s="335"/>
      <c r="H382" s="335"/>
      <c r="I382" s="335"/>
      <c r="J382" s="90"/>
      <c r="K382" s="90" t="s">
        <v>113185</v>
      </c>
      <c r="L382" s="91">
        <v>81101500</v>
      </c>
      <c r="M382" s="92" t="s">
        <v>113188</v>
      </c>
      <c r="N382" s="93">
        <v>45651</v>
      </c>
      <c r="O382" s="93" t="s">
        <v>113203</v>
      </c>
      <c r="P382" s="94" t="s">
        <v>113022</v>
      </c>
      <c r="Q382" s="94" t="s">
        <v>113309</v>
      </c>
      <c r="R382" s="118">
        <f>300000000+16094179-195589</f>
        <v>315898590</v>
      </c>
      <c r="S382" s="141"/>
      <c r="T382" s="92" t="s">
        <v>113173</v>
      </c>
    </row>
    <row r="383" spans="2:20" ht="45" x14ac:dyDescent="0.25">
      <c r="B383" s="88"/>
      <c r="C383" s="335"/>
      <c r="D383" s="335"/>
      <c r="E383" s="335"/>
      <c r="F383" s="335"/>
      <c r="G383" s="335"/>
      <c r="H383" s="335"/>
      <c r="I383" s="335"/>
      <c r="J383" s="90"/>
      <c r="K383" s="90"/>
      <c r="L383" s="91" t="s">
        <v>113170</v>
      </c>
      <c r="M383" s="92" t="s">
        <v>113405</v>
      </c>
      <c r="N383" s="93">
        <v>45555</v>
      </c>
      <c r="O383" s="93" t="s">
        <v>113078</v>
      </c>
      <c r="P383" s="94" t="s">
        <v>113045</v>
      </c>
      <c r="Q383" s="94" t="s">
        <v>113308</v>
      </c>
      <c r="R383" s="118">
        <f>270578490.23+99010+32946210.15+4297000+266883700.62+195589</f>
        <v>575000000</v>
      </c>
      <c r="S383" s="141"/>
      <c r="T383" s="92" t="s">
        <v>113173</v>
      </c>
    </row>
    <row r="384" spans="2:20" ht="45" customHeight="1" x14ac:dyDescent="0.25">
      <c r="B384" s="88"/>
      <c r="C384" s="335"/>
      <c r="D384" s="335"/>
      <c r="E384" s="335"/>
      <c r="F384" s="335"/>
      <c r="G384" s="335"/>
      <c r="H384" s="335"/>
      <c r="I384" s="335"/>
      <c r="J384" s="90"/>
      <c r="K384" s="90"/>
      <c r="L384" s="91">
        <v>81101500</v>
      </c>
      <c r="M384" s="92" t="s">
        <v>113406</v>
      </c>
      <c r="N384" s="93">
        <v>45555</v>
      </c>
      <c r="O384" s="93" t="s">
        <v>113078</v>
      </c>
      <c r="P384" s="94" t="s">
        <v>113045</v>
      </c>
      <c r="Q384" s="94" t="s">
        <v>113309</v>
      </c>
      <c r="R384" s="118">
        <f>22400607.85+51203229.67</f>
        <v>73603837.520000011</v>
      </c>
      <c r="S384" s="141"/>
      <c r="T384" s="92" t="s">
        <v>113173</v>
      </c>
    </row>
    <row r="385" spans="2:20" ht="55.5" customHeight="1" x14ac:dyDescent="0.25">
      <c r="B385" s="88"/>
      <c r="C385" s="335"/>
      <c r="D385" s="335"/>
      <c r="E385" s="335"/>
      <c r="F385" s="335"/>
      <c r="G385" s="335"/>
      <c r="H385" s="335"/>
      <c r="I385" s="335"/>
      <c r="J385" s="90"/>
      <c r="K385" s="90" t="s">
        <v>113185</v>
      </c>
      <c r="L385" s="91" t="s">
        <v>113170</v>
      </c>
      <c r="M385" s="92" t="s">
        <v>113329</v>
      </c>
      <c r="N385" s="93">
        <v>45641</v>
      </c>
      <c r="O385" s="93" t="s">
        <v>113203</v>
      </c>
      <c r="P385" s="94" t="s">
        <v>113011</v>
      </c>
      <c r="Q385" s="94" t="s">
        <v>113308</v>
      </c>
      <c r="R385" s="118">
        <f>1100000000-200000000+195000000</f>
        <v>1095000000</v>
      </c>
      <c r="S385" s="325">
        <v>3191426295.0047998</v>
      </c>
      <c r="T385" s="92" t="s">
        <v>113173</v>
      </c>
    </row>
    <row r="386" spans="2:20" ht="25.5" customHeight="1" x14ac:dyDescent="0.25">
      <c r="B386" s="88"/>
      <c r="C386" s="335"/>
      <c r="D386" s="335"/>
      <c r="E386" s="335"/>
      <c r="F386" s="335"/>
      <c r="G386" s="335"/>
      <c r="H386" s="335"/>
      <c r="I386" s="335"/>
      <c r="J386" s="90"/>
      <c r="K386" s="90" t="s">
        <v>113185</v>
      </c>
      <c r="L386" s="91">
        <v>81101500</v>
      </c>
      <c r="M386" s="92" t="s">
        <v>113330</v>
      </c>
      <c r="N386" s="93">
        <v>45641</v>
      </c>
      <c r="O386" s="93" t="s">
        <v>113203</v>
      </c>
      <c r="P386" s="94" t="s">
        <v>113011</v>
      </c>
      <c r="Q386" s="94" t="s">
        <v>113309</v>
      </c>
      <c r="R386" s="118">
        <v>160000000</v>
      </c>
      <c r="S386" s="325">
        <v>285450049</v>
      </c>
      <c r="T386" s="92" t="s">
        <v>113173</v>
      </c>
    </row>
    <row r="387" spans="2:20" ht="45" x14ac:dyDescent="0.25">
      <c r="B387" s="88"/>
      <c r="C387" s="335"/>
      <c r="D387" s="335"/>
      <c r="E387" s="335"/>
      <c r="F387" s="335"/>
      <c r="G387" s="335"/>
      <c r="H387" s="335"/>
      <c r="I387" s="335"/>
      <c r="J387" s="90"/>
      <c r="K387" s="90" t="s">
        <v>113185</v>
      </c>
      <c r="L387" s="91" t="s">
        <v>113170</v>
      </c>
      <c r="M387" s="92" t="s">
        <v>113331</v>
      </c>
      <c r="N387" s="93">
        <v>45641</v>
      </c>
      <c r="O387" s="93" t="s">
        <v>113203</v>
      </c>
      <c r="P387" s="94" t="s">
        <v>113022</v>
      </c>
      <c r="Q387" s="94" t="s">
        <v>113308</v>
      </c>
      <c r="R387" s="118">
        <f>1000000000-100000000</f>
        <v>900000000</v>
      </c>
      <c r="S387" s="325">
        <v>873272719.76999998</v>
      </c>
      <c r="T387" s="92" t="s">
        <v>113173</v>
      </c>
    </row>
    <row r="388" spans="2:20" ht="30" x14ac:dyDescent="0.25">
      <c r="B388" s="88"/>
      <c r="C388" s="335"/>
      <c r="D388" s="335"/>
      <c r="E388" s="335"/>
      <c r="F388" s="335"/>
      <c r="G388" s="335"/>
      <c r="H388" s="335"/>
      <c r="I388" s="335"/>
      <c r="J388" s="90"/>
      <c r="K388" s="90" t="s">
        <v>113185</v>
      </c>
      <c r="L388" s="91">
        <v>81101500</v>
      </c>
      <c r="M388" s="92" t="s">
        <v>113332</v>
      </c>
      <c r="N388" s="93">
        <v>45641</v>
      </c>
      <c r="O388" s="93" t="s">
        <v>113203</v>
      </c>
      <c r="P388" s="94" t="s">
        <v>113022</v>
      </c>
      <c r="Q388" s="94" t="s">
        <v>113309</v>
      </c>
      <c r="R388" s="118">
        <v>80000000</v>
      </c>
      <c r="S388" s="325">
        <v>104065708</v>
      </c>
      <c r="T388" s="92" t="s">
        <v>113173</v>
      </c>
    </row>
    <row r="389" spans="2:20" ht="45" x14ac:dyDescent="0.25">
      <c r="B389" s="88"/>
      <c r="C389" s="335"/>
      <c r="D389" s="335"/>
      <c r="E389" s="335"/>
      <c r="F389" s="335"/>
      <c r="G389" s="335"/>
      <c r="H389" s="335"/>
      <c r="I389" s="335"/>
      <c r="J389" s="90"/>
      <c r="K389" s="90" t="s">
        <v>113185</v>
      </c>
      <c r="L389" s="91" t="s">
        <v>113170</v>
      </c>
      <c r="M389" s="92" t="s">
        <v>113333</v>
      </c>
      <c r="N389" s="93">
        <v>45641</v>
      </c>
      <c r="O389" s="93" t="s">
        <v>113203</v>
      </c>
      <c r="P389" s="94" t="s">
        <v>113022</v>
      </c>
      <c r="Q389" s="94" t="s">
        <v>113308</v>
      </c>
      <c r="R389" s="118">
        <f>1000000000-100000000</f>
        <v>900000000</v>
      </c>
      <c r="S389" s="325">
        <v>610274233.07000005</v>
      </c>
      <c r="T389" s="92" t="s">
        <v>113173</v>
      </c>
    </row>
    <row r="390" spans="2:20" ht="30" x14ac:dyDescent="0.25">
      <c r="B390" s="88"/>
      <c r="C390" s="335"/>
      <c r="D390" s="335"/>
      <c r="E390" s="335"/>
      <c r="F390" s="335"/>
      <c r="G390" s="335"/>
      <c r="H390" s="335"/>
      <c r="I390" s="335"/>
      <c r="J390" s="90"/>
      <c r="K390" s="90" t="s">
        <v>113185</v>
      </c>
      <c r="L390" s="91">
        <v>81101500</v>
      </c>
      <c r="M390" s="92" t="s">
        <v>113334</v>
      </c>
      <c r="N390" s="93">
        <v>45641</v>
      </c>
      <c r="O390" s="93" t="s">
        <v>113203</v>
      </c>
      <c r="P390" s="94" t="s">
        <v>113022</v>
      </c>
      <c r="Q390" s="94" t="s">
        <v>113309</v>
      </c>
      <c r="R390" s="118">
        <v>120000000</v>
      </c>
      <c r="S390" s="325">
        <v>50000000</v>
      </c>
      <c r="T390" s="92" t="s">
        <v>113173</v>
      </c>
    </row>
    <row r="391" spans="2:20" ht="30" x14ac:dyDescent="0.25">
      <c r="B391" s="88"/>
      <c r="C391" s="335"/>
      <c r="D391" s="335"/>
      <c r="E391" s="335"/>
      <c r="F391" s="335"/>
      <c r="G391" s="335"/>
      <c r="H391" s="335"/>
      <c r="I391" s="335"/>
      <c r="J391" s="90"/>
      <c r="K391" s="90" t="s">
        <v>113185</v>
      </c>
      <c r="L391" s="91">
        <v>90121600</v>
      </c>
      <c r="M391" s="92" t="s">
        <v>113181</v>
      </c>
      <c r="N391" s="93">
        <v>45311</v>
      </c>
      <c r="O391" s="93" t="s">
        <v>113060</v>
      </c>
      <c r="P391" s="94" t="s">
        <v>113011</v>
      </c>
      <c r="Q391" s="94" t="s">
        <v>113242</v>
      </c>
      <c r="R391" s="118">
        <v>40000000</v>
      </c>
      <c r="S391" s="141"/>
      <c r="T391" s="92" t="s">
        <v>113173</v>
      </c>
    </row>
    <row r="392" spans="2:20" ht="27" customHeight="1" x14ac:dyDescent="0.25">
      <c r="B392" s="88"/>
      <c r="C392" s="335"/>
      <c r="D392" s="335"/>
      <c r="E392" s="335"/>
      <c r="F392" s="335"/>
      <c r="G392" s="335"/>
      <c r="H392" s="335"/>
      <c r="I392" s="335"/>
      <c r="J392" s="90"/>
      <c r="K392" s="90"/>
      <c r="L392" s="91"/>
      <c r="M392" s="92" t="s">
        <v>113193</v>
      </c>
      <c r="N392" s="93" t="s">
        <v>113031</v>
      </c>
      <c r="O392" s="93" t="s">
        <v>113031</v>
      </c>
      <c r="P392" s="93" t="s">
        <v>113031</v>
      </c>
      <c r="Q392" s="93" t="s">
        <v>113031</v>
      </c>
      <c r="R392" s="118">
        <f>200000000+100000000+60000000</f>
        <v>360000000</v>
      </c>
      <c r="S392" s="141"/>
      <c r="T392" s="92"/>
    </row>
    <row r="393" spans="2:20" ht="34.5" customHeight="1" x14ac:dyDescent="0.25">
      <c r="B393" s="88"/>
      <c r="C393" s="335"/>
      <c r="D393" s="335"/>
      <c r="E393" s="335"/>
      <c r="F393" s="335"/>
      <c r="G393" s="335"/>
      <c r="H393" s="335"/>
      <c r="I393" s="335"/>
      <c r="J393" s="90"/>
      <c r="K393" s="90"/>
      <c r="L393" s="91"/>
      <c r="M393" s="92" t="s">
        <v>113335</v>
      </c>
      <c r="N393" s="93" t="s">
        <v>113031</v>
      </c>
      <c r="O393" s="93" t="s">
        <v>113031</v>
      </c>
      <c r="P393" s="93" t="s">
        <v>113031</v>
      </c>
      <c r="Q393" s="93" t="s">
        <v>113031</v>
      </c>
      <c r="R393" s="118">
        <f>100000000-60000000</f>
        <v>40000000</v>
      </c>
      <c r="S393" s="141"/>
      <c r="T393" s="92"/>
    </row>
    <row r="394" spans="2:20" ht="30" x14ac:dyDescent="0.25">
      <c r="B394" s="326"/>
      <c r="C394" s="327"/>
      <c r="D394" s="327"/>
      <c r="E394" s="327"/>
      <c r="F394" s="327"/>
      <c r="G394" s="327"/>
      <c r="H394" s="327"/>
      <c r="I394" s="327"/>
      <c r="J394" s="328"/>
      <c r="K394" s="328" t="s">
        <v>113185</v>
      </c>
      <c r="L394" s="91">
        <v>90111500</v>
      </c>
      <c r="M394" s="92" t="s">
        <v>113312</v>
      </c>
      <c r="N394" s="93">
        <v>45311</v>
      </c>
      <c r="O394" s="93" t="s">
        <v>113203</v>
      </c>
      <c r="P394" s="94" t="s">
        <v>113200</v>
      </c>
      <c r="Q394" s="94" t="s">
        <v>113031</v>
      </c>
      <c r="R394" s="118">
        <f>49478465.53+404845.31</f>
        <v>49883310.840000004</v>
      </c>
      <c r="S394" s="141"/>
      <c r="T394" s="92" t="s">
        <v>113173</v>
      </c>
    </row>
    <row r="395" spans="2:20" ht="42.75" customHeight="1" x14ac:dyDescent="0.25">
      <c r="B395" s="254" t="s">
        <v>113163</v>
      </c>
      <c r="C395" s="254">
        <v>1505</v>
      </c>
      <c r="D395" s="308" t="s">
        <v>113167</v>
      </c>
      <c r="E395" s="308" t="s">
        <v>105917</v>
      </c>
      <c r="F395" s="254"/>
      <c r="G395" s="254"/>
      <c r="H395" s="254"/>
      <c r="I395" s="254"/>
      <c r="J395" s="254"/>
      <c r="K395" s="65"/>
      <c r="L395" s="65"/>
      <c r="M395" s="306" t="s">
        <v>113225</v>
      </c>
      <c r="N395" s="67"/>
      <c r="O395" s="67" t="s">
        <v>112995</v>
      </c>
      <c r="P395" s="68"/>
      <c r="Q395" s="68"/>
      <c r="R395" s="69">
        <f>R396</f>
        <v>17765000000</v>
      </c>
      <c r="S395" s="287"/>
      <c r="T395" s="288"/>
    </row>
    <row r="396" spans="2:20" ht="42.75" customHeight="1" x14ac:dyDescent="0.25">
      <c r="B396" s="254" t="s">
        <v>113163</v>
      </c>
      <c r="C396" s="254">
        <v>1505</v>
      </c>
      <c r="D396" s="308" t="s">
        <v>113167</v>
      </c>
      <c r="E396" s="308" t="s">
        <v>105917</v>
      </c>
      <c r="F396" s="254" t="s">
        <v>113226</v>
      </c>
      <c r="G396" s="254"/>
      <c r="H396" s="254"/>
      <c r="I396" s="254"/>
      <c r="J396" s="254"/>
      <c r="K396" s="65"/>
      <c r="L396" s="65"/>
      <c r="M396" s="306" t="s">
        <v>113402</v>
      </c>
      <c r="N396" s="67"/>
      <c r="O396" s="67"/>
      <c r="P396" s="68"/>
      <c r="Q396" s="68"/>
      <c r="R396" s="69">
        <f>R397</f>
        <v>17765000000</v>
      </c>
      <c r="S396" s="287"/>
      <c r="T396" s="288"/>
    </row>
    <row r="397" spans="2:20" ht="51.75" customHeight="1" x14ac:dyDescent="0.25">
      <c r="B397" s="379" t="s">
        <v>113163</v>
      </c>
      <c r="C397" s="379">
        <v>1505</v>
      </c>
      <c r="D397" s="379" t="s">
        <v>113167</v>
      </c>
      <c r="E397" s="380" t="s">
        <v>105917</v>
      </c>
      <c r="F397" s="379" t="s">
        <v>113226</v>
      </c>
      <c r="G397" s="379">
        <v>1505006</v>
      </c>
      <c r="H397" s="386"/>
      <c r="I397" s="289"/>
      <c r="J397" s="289"/>
      <c r="K397" s="35"/>
      <c r="L397" s="35"/>
      <c r="M397" s="331" t="s">
        <v>113403</v>
      </c>
      <c r="N397" s="290"/>
      <c r="O397" s="290" t="s">
        <v>112995</v>
      </c>
      <c r="P397" s="291"/>
      <c r="Q397" s="291"/>
      <c r="R397" s="39">
        <f>R398</f>
        <v>17765000000</v>
      </c>
      <c r="S397" s="40"/>
      <c r="T397" s="292"/>
    </row>
    <row r="398" spans="2:20" ht="51.75" customHeight="1" x14ac:dyDescent="0.25">
      <c r="B398" s="289" t="s">
        <v>113163</v>
      </c>
      <c r="C398" s="289">
        <v>1505</v>
      </c>
      <c r="D398" s="289" t="s">
        <v>113167</v>
      </c>
      <c r="E398" s="382" t="s">
        <v>105917</v>
      </c>
      <c r="F398" s="381" t="s">
        <v>113226</v>
      </c>
      <c r="G398" s="381">
        <v>1505006</v>
      </c>
      <c r="H398" s="382" t="s">
        <v>105573</v>
      </c>
      <c r="I398" s="381"/>
      <c r="J398" s="381"/>
      <c r="K398" s="387"/>
      <c r="L398" s="387"/>
      <c r="M398" s="383" t="s">
        <v>113407</v>
      </c>
      <c r="N398" s="83"/>
      <c r="O398" s="83"/>
      <c r="P398" s="84"/>
      <c r="Q398" s="84"/>
      <c r="R398" s="388">
        <f>SUM(R399:R413)</f>
        <v>17765000000</v>
      </c>
      <c r="S398" s="389"/>
      <c r="T398" s="390"/>
    </row>
    <row r="399" spans="2:20" ht="45" x14ac:dyDescent="0.25">
      <c r="B399" s="88"/>
      <c r="C399" s="335"/>
      <c r="D399" s="335"/>
      <c r="E399" s="335"/>
      <c r="F399" s="335"/>
      <c r="G399" s="335"/>
      <c r="H399" s="335"/>
      <c r="I399" s="335"/>
      <c r="J399" s="90"/>
      <c r="K399" s="90" t="s">
        <v>113174</v>
      </c>
      <c r="L399" s="91" t="s">
        <v>113170</v>
      </c>
      <c r="M399" s="92" t="s">
        <v>113171</v>
      </c>
      <c r="N399" s="93">
        <v>45292</v>
      </c>
      <c r="O399" s="93" t="s">
        <v>113203</v>
      </c>
      <c r="P399" s="132" t="s">
        <v>113068</v>
      </c>
      <c r="Q399" s="94" t="s">
        <v>113308</v>
      </c>
      <c r="R399" s="118">
        <f>4138111605+1854760690+276453645.92</f>
        <v>6269325940.9200001</v>
      </c>
      <c r="S399" s="294"/>
      <c r="T399" s="295" t="s">
        <v>113173</v>
      </c>
    </row>
    <row r="400" spans="2:20" ht="30" x14ac:dyDescent="0.25">
      <c r="B400" s="88"/>
      <c r="C400" s="335"/>
      <c r="D400" s="335"/>
      <c r="E400" s="335"/>
      <c r="F400" s="335"/>
      <c r="G400" s="335"/>
      <c r="H400" s="335"/>
      <c r="I400" s="335"/>
      <c r="J400" s="90"/>
      <c r="K400" s="90" t="s">
        <v>113174</v>
      </c>
      <c r="L400" s="91">
        <v>81101500</v>
      </c>
      <c r="M400" s="92" t="s">
        <v>113175</v>
      </c>
      <c r="N400" s="93">
        <v>45292</v>
      </c>
      <c r="O400" s="93" t="s">
        <v>113203</v>
      </c>
      <c r="P400" s="132" t="s">
        <v>113068</v>
      </c>
      <c r="Q400" s="94" t="s">
        <v>113309</v>
      </c>
      <c r="R400" s="118">
        <f>550573393+208535397</f>
        <v>759108790</v>
      </c>
      <c r="S400" s="294"/>
      <c r="T400" s="295" t="s">
        <v>113173</v>
      </c>
    </row>
    <row r="401" spans="2:20" ht="45" x14ac:dyDescent="0.25">
      <c r="B401" s="88"/>
      <c r="C401" s="335"/>
      <c r="D401" s="335"/>
      <c r="E401" s="335"/>
      <c r="F401" s="335"/>
      <c r="G401" s="335"/>
      <c r="H401" s="335"/>
      <c r="I401" s="335"/>
      <c r="J401" s="90"/>
      <c r="K401" s="90" t="s">
        <v>113174</v>
      </c>
      <c r="L401" s="91" t="s">
        <v>113170</v>
      </c>
      <c r="M401" s="92" t="s">
        <v>113310</v>
      </c>
      <c r="N401" s="93">
        <v>45444</v>
      </c>
      <c r="O401" s="93" t="s">
        <v>113018</v>
      </c>
      <c r="P401" s="94" t="s">
        <v>113178</v>
      </c>
      <c r="Q401" s="94" t="s">
        <v>113308</v>
      </c>
      <c r="R401" s="118">
        <f>4564220183-1854760690-208535397-2481348913-19575183</f>
        <v>0</v>
      </c>
      <c r="S401" s="294"/>
      <c r="T401" s="295" t="s">
        <v>113173</v>
      </c>
    </row>
    <row r="402" spans="2:20" ht="30" x14ac:dyDescent="0.25">
      <c r="B402" s="88"/>
      <c r="C402" s="335"/>
      <c r="D402" s="335"/>
      <c r="E402" s="335"/>
      <c r="F402" s="335"/>
      <c r="G402" s="335"/>
      <c r="H402" s="335"/>
      <c r="I402" s="335"/>
      <c r="J402" s="90"/>
      <c r="K402" s="90" t="s">
        <v>113174</v>
      </c>
      <c r="L402" s="91">
        <v>81101500</v>
      </c>
      <c r="M402" s="92" t="s">
        <v>113311</v>
      </c>
      <c r="N402" s="93">
        <v>45444</v>
      </c>
      <c r="O402" s="93" t="s">
        <v>113018</v>
      </c>
      <c r="P402" s="94" t="s">
        <v>113178</v>
      </c>
      <c r="Q402" s="94" t="s">
        <v>113309</v>
      </c>
      <c r="R402" s="118">
        <f>410779817-410779817</f>
        <v>0</v>
      </c>
      <c r="S402" s="294"/>
      <c r="T402" s="295" t="s">
        <v>113173</v>
      </c>
    </row>
    <row r="403" spans="2:20" ht="30" x14ac:dyDescent="0.25">
      <c r="B403" s="88"/>
      <c r="C403" s="335"/>
      <c r="D403" s="335"/>
      <c r="E403" s="335"/>
      <c r="F403" s="335"/>
      <c r="G403" s="335"/>
      <c r="H403" s="335"/>
      <c r="I403" s="335"/>
      <c r="J403" s="90"/>
      <c r="K403" s="90" t="s">
        <v>113174</v>
      </c>
      <c r="L403" s="91">
        <v>90121600</v>
      </c>
      <c r="M403" s="92" t="s">
        <v>113181</v>
      </c>
      <c r="N403" s="93">
        <v>45311</v>
      </c>
      <c r="O403" s="93" t="s">
        <v>113060</v>
      </c>
      <c r="P403" s="94" t="s">
        <v>113011</v>
      </c>
      <c r="Q403" s="94" t="s">
        <v>113242</v>
      </c>
      <c r="R403" s="118">
        <v>50000000</v>
      </c>
      <c r="S403" s="144"/>
      <c r="T403" s="295" t="s">
        <v>113173</v>
      </c>
    </row>
    <row r="404" spans="2:20" ht="25.5" customHeight="1" x14ac:dyDescent="0.25">
      <c r="B404" s="88"/>
      <c r="C404" s="335"/>
      <c r="D404" s="335"/>
      <c r="E404" s="335"/>
      <c r="F404" s="335"/>
      <c r="G404" s="335"/>
      <c r="H404" s="335"/>
      <c r="I404" s="335"/>
      <c r="J404" s="90"/>
      <c r="K404" s="90" t="s">
        <v>113174</v>
      </c>
      <c r="L404" s="91">
        <v>90111500</v>
      </c>
      <c r="M404" s="92" t="s">
        <v>113312</v>
      </c>
      <c r="N404" s="93">
        <v>45311</v>
      </c>
      <c r="O404" s="93" t="s">
        <v>113203</v>
      </c>
      <c r="P404" s="94" t="s">
        <v>113200</v>
      </c>
      <c r="Q404" s="94" t="s">
        <v>113031</v>
      </c>
      <c r="R404" s="118">
        <v>70000000</v>
      </c>
      <c r="S404" s="144"/>
      <c r="T404" s="295" t="s">
        <v>113173</v>
      </c>
    </row>
    <row r="405" spans="2:20" ht="26.25" customHeight="1" x14ac:dyDescent="0.25">
      <c r="B405" s="88"/>
      <c r="C405" s="335"/>
      <c r="D405" s="335"/>
      <c r="E405" s="335"/>
      <c r="F405" s="335"/>
      <c r="G405" s="335"/>
      <c r="H405" s="335"/>
      <c r="I405" s="335"/>
      <c r="J405" s="90"/>
      <c r="K405" s="90" t="s">
        <v>113174</v>
      </c>
      <c r="L405" s="91" t="s">
        <v>113313</v>
      </c>
      <c r="M405" s="92" t="s">
        <v>113180</v>
      </c>
      <c r="N405" s="93">
        <v>45305</v>
      </c>
      <c r="O405" s="93" t="s">
        <v>113203</v>
      </c>
      <c r="P405" s="94" t="s">
        <v>113200</v>
      </c>
      <c r="Q405" s="94" t="s">
        <v>113095</v>
      </c>
      <c r="R405" s="118">
        <f>500000000+183600000</f>
        <v>683600000</v>
      </c>
      <c r="S405" s="144"/>
      <c r="T405" s="295" t="s">
        <v>113173</v>
      </c>
    </row>
    <row r="406" spans="2:20" ht="29.25" customHeight="1" x14ac:dyDescent="0.25">
      <c r="B406" s="88"/>
      <c r="C406" s="335"/>
      <c r="D406" s="335"/>
      <c r="E406" s="335"/>
      <c r="F406" s="335"/>
      <c r="G406" s="335"/>
      <c r="H406" s="335"/>
      <c r="I406" s="335"/>
      <c r="J406" s="90"/>
      <c r="K406" s="90" t="s">
        <v>113174</v>
      </c>
      <c r="L406" s="91" t="s">
        <v>113313</v>
      </c>
      <c r="M406" s="92" t="s">
        <v>113180</v>
      </c>
      <c r="N406" s="93">
        <v>45305</v>
      </c>
      <c r="O406" s="93" t="s">
        <v>113203</v>
      </c>
      <c r="P406" s="94" t="s">
        <v>113200</v>
      </c>
      <c r="Q406" s="94" t="s">
        <v>113309</v>
      </c>
      <c r="R406" s="118">
        <f>481315002-183600000-197136020</f>
        <v>100578982</v>
      </c>
      <c r="S406" s="144"/>
      <c r="T406" s="295" t="s">
        <v>113173</v>
      </c>
    </row>
    <row r="407" spans="2:20" ht="44.25" customHeight="1" x14ac:dyDescent="0.25">
      <c r="B407" s="88"/>
      <c r="C407" s="335"/>
      <c r="D407" s="335"/>
      <c r="E407" s="335"/>
      <c r="F407" s="335"/>
      <c r="G407" s="335"/>
      <c r="H407" s="335"/>
      <c r="I407" s="335"/>
      <c r="J407" s="90"/>
      <c r="K407" s="90"/>
      <c r="L407" s="91" t="s">
        <v>113170</v>
      </c>
      <c r="M407" s="92" t="s">
        <v>113408</v>
      </c>
      <c r="N407" s="93">
        <v>45588</v>
      </c>
      <c r="O407" s="93" t="s">
        <v>113070</v>
      </c>
      <c r="P407" s="94" t="s">
        <v>113409</v>
      </c>
      <c r="Q407" s="94" t="s">
        <v>113308</v>
      </c>
      <c r="R407" s="118">
        <f>2481348913+3847706955.38</f>
        <v>6329055868.3800001</v>
      </c>
      <c r="S407" s="325">
        <v>8000000000</v>
      </c>
      <c r="T407" s="295" t="s">
        <v>113173</v>
      </c>
    </row>
    <row r="408" spans="2:20" ht="66.75" customHeight="1" x14ac:dyDescent="0.25">
      <c r="B408" s="88"/>
      <c r="C408" s="335"/>
      <c r="D408" s="335"/>
      <c r="E408" s="335"/>
      <c r="F408" s="335"/>
      <c r="G408" s="335"/>
      <c r="H408" s="335"/>
      <c r="I408" s="335"/>
      <c r="J408" s="90"/>
      <c r="K408" s="90"/>
      <c r="L408" s="91">
        <v>81101500</v>
      </c>
      <c r="M408" s="92" t="s">
        <v>113410</v>
      </c>
      <c r="N408" s="93">
        <v>45588</v>
      </c>
      <c r="O408" s="93" t="s">
        <v>113070</v>
      </c>
      <c r="P408" s="94" t="s">
        <v>113409</v>
      </c>
      <c r="Q408" s="94" t="s">
        <v>113309</v>
      </c>
      <c r="R408" s="118">
        <f>19575183+410779817</f>
        <v>430355000</v>
      </c>
      <c r="S408" s="325">
        <v>1300000000</v>
      </c>
      <c r="T408" s="295" t="s">
        <v>113173</v>
      </c>
    </row>
    <row r="409" spans="2:20" ht="43.5" customHeight="1" x14ac:dyDescent="0.25">
      <c r="B409" s="88"/>
      <c r="C409" s="335"/>
      <c r="D409" s="335"/>
      <c r="E409" s="335"/>
      <c r="F409" s="335"/>
      <c r="G409" s="335"/>
      <c r="H409" s="335"/>
      <c r="I409" s="335"/>
      <c r="J409" s="90"/>
      <c r="K409" s="90" t="s">
        <v>113174</v>
      </c>
      <c r="L409" s="91" t="s">
        <v>113170</v>
      </c>
      <c r="M409" s="92" t="s">
        <v>113316</v>
      </c>
      <c r="N409" s="93">
        <v>45336</v>
      </c>
      <c r="O409" s="93" t="s">
        <v>113203</v>
      </c>
      <c r="P409" s="94" t="s">
        <v>113317</v>
      </c>
      <c r="Q409" s="94" t="s">
        <v>113308</v>
      </c>
      <c r="R409" s="118">
        <f>4133000000-712261158-276453645.92-3144285196.08</f>
        <v>0</v>
      </c>
      <c r="S409" s="144"/>
      <c r="T409" s="295" t="s">
        <v>113173</v>
      </c>
    </row>
    <row r="410" spans="2:20" ht="30" x14ac:dyDescent="0.25">
      <c r="B410" s="88"/>
      <c r="C410" s="335"/>
      <c r="D410" s="335"/>
      <c r="E410" s="335"/>
      <c r="F410" s="335"/>
      <c r="G410" s="335"/>
      <c r="H410" s="335"/>
      <c r="I410" s="335"/>
      <c r="J410" s="90"/>
      <c r="K410" s="90" t="s">
        <v>113174</v>
      </c>
      <c r="L410" s="91">
        <v>81101500</v>
      </c>
      <c r="M410" s="92" t="s">
        <v>113318</v>
      </c>
      <c r="N410" s="93">
        <v>45336</v>
      </c>
      <c r="O410" s="93" t="s">
        <v>113203</v>
      </c>
      <c r="P410" s="94" t="s">
        <v>113317</v>
      </c>
      <c r="Q410" s="94" t="s">
        <v>113309</v>
      </c>
      <c r="R410" s="118">
        <f>405000000-405000000</f>
        <v>0</v>
      </c>
      <c r="S410" s="144"/>
      <c r="T410" s="295" t="s">
        <v>113173</v>
      </c>
    </row>
    <row r="411" spans="2:20" ht="45" x14ac:dyDescent="0.25">
      <c r="B411" s="88"/>
      <c r="C411" s="335"/>
      <c r="D411" s="335"/>
      <c r="E411" s="335"/>
      <c r="F411" s="335"/>
      <c r="G411" s="335"/>
      <c r="H411" s="335"/>
      <c r="I411" s="335"/>
      <c r="J411" s="90"/>
      <c r="K411" s="90" t="s">
        <v>113174</v>
      </c>
      <c r="L411" s="91" t="s">
        <v>113170</v>
      </c>
      <c r="M411" s="92" t="s">
        <v>113319</v>
      </c>
      <c r="N411" s="93">
        <v>45336</v>
      </c>
      <c r="O411" s="93" t="s">
        <v>113203</v>
      </c>
      <c r="P411" s="94" t="s">
        <v>113317</v>
      </c>
      <c r="Q411" s="94" t="s">
        <v>113308</v>
      </c>
      <c r="R411" s="118">
        <f>2107000000+712261158-101285739.3</f>
        <v>2717975418.6999998</v>
      </c>
      <c r="S411" s="144"/>
      <c r="T411" s="295" t="s">
        <v>113173</v>
      </c>
    </row>
    <row r="412" spans="2:20" ht="30" x14ac:dyDescent="0.25">
      <c r="B412" s="88"/>
      <c r="C412" s="335"/>
      <c r="D412" s="335"/>
      <c r="E412" s="335"/>
      <c r="F412" s="335"/>
      <c r="G412" s="335"/>
      <c r="H412" s="335"/>
      <c r="I412" s="335"/>
      <c r="J412" s="90"/>
      <c r="K412" s="90" t="s">
        <v>113174</v>
      </c>
      <c r="L412" s="91">
        <v>81101500</v>
      </c>
      <c r="M412" s="92" t="s">
        <v>113320</v>
      </c>
      <c r="N412" s="93">
        <v>45336</v>
      </c>
      <c r="O412" s="93" t="s">
        <v>113203</v>
      </c>
      <c r="P412" s="94" t="s">
        <v>113317</v>
      </c>
      <c r="Q412" s="94" t="s">
        <v>113309</v>
      </c>
      <c r="R412" s="118">
        <f>355000000-40000000</f>
        <v>315000000</v>
      </c>
      <c r="S412" s="144"/>
      <c r="T412" s="295" t="s">
        <v>113173</v>
      </c>
    </row>
    <row r="413" spans="2:20" ht="45" customHeight="1" x14ac:dyDescent="0.25">
      <c r="B413" s="88"/>
      <c r="C413" s="335"/>
      <c r="D413" s="335"/>
      <c r="E413" s="335"/>
      <c r="F413" s="335"/>
      <c r="G413" s="335"/>
      <c r="H413" s="335"/>
      <c r="I413" s="335"/>
      <c r="J413" s="90"/>
      <c r="K413" s="90"/>
      <c r="L413" s="91"/>
      <c r="M413" s="92" t="s">
        <v>113411</v>
      </c>
      <c r="N413" s="93" t="s">
        <v>113031</v>
      </c>
      <c r="O413" s="93" t="s">
        <v>113031</v>
      </c>
      <c r="P413" s="93" t="s">
        <v>113031</v>
      </c>
      <c r="Q413" s="93" t="s">
        <v>113031</v>
      </c>
      <c r="R413" s="118">
        <v>40000000</v>
      </c>
      <c r="S413" s="141"/>
      <c r="T413" s="92" t="s">
        <v>113173</v>
      </c>
    </row>
  </sheetData>
  <autoFilter ref="A6:U413" xr:uid="{00000000-0009-0000-0000-000004000000}"/>
  <mergeCells count="1">
    <mergeCell ref="B341:L341"/>
  </mergeCells>
  <conditionalFormatting sqref="O17">
    <cfRule type="timePeriod" dxfId="5" priority="5" timePeriod="lastMonth">
      <formula>AND(MONTH(O17)=MONTH(EDATE(TODAY(),0-1)),YEAR(O17)=YEAR(EDATE(TODAY(),0-1)))</formula>
    </cfRule>
  </conditionalFormatting>
  <conditionalFormatting sqref="N25:O25">
    <cfRule type="timePeriod" dxfId="4" priority="4" timePeriod="lastMonth">
      <formula>AND(MONTH(N25)=MONTH(EDATE(TODAY(),0-1)),YEAR(N25)=YEAR(EDATE(TODAY(),0-1)))</formula>
    </cfRule>
  </conditionalFormatting>
  <conditionalFormatting sqref="N41:O41">
    <cfRule type="timePeriod" dxfId="3" priority="3" timePeriod="lastMonth">
      <formula>AND(MONTH(N41)=MONTH(EDATE(TODAY(),0-1)),YEAR(N41)=YEAR(EDATE(TODAY(),0-1)))</formula>
    </cfRule>
  </conditionalFormatting>
  <conditionalFormatting sqref="N44:O44">
    <cfRule type="timePeriod" dxfId="2" priority="2" timePeriod="lastMonth">
      <formula>AND(MONTH(N44)=MONTH(EDATE(TODAY(),0-1)),YEAR(N44)=YEAR(EDATE(TODAY(),0-1)))</formula>
    </cfRule>
  </conditionalFormatting>
  <conditionalFormatting sqref="N66:O66">
    <cfRule type="timePeriod" dxfId="1" priority="1" timePeriod="lastMonth">
      <formula>AND(MONTH(N66)=MONTH(EDATE(TODAY(),0-1)),YEAR(N66)=YEAR(EDATE(TODAY(),0-1)))</formula>
    </cfRule>
  </conditionalFormatting>
  <conditionalFormatting sqref="N14:Q14">
    <cfRule type="timePeriod" dxfId="0" priority="6" timePeriod="lastMonth">
      <formula>AND(MONTH(N14)=MONTH(EDATE(TODAY(),0-1)),YEAR(N14)=YEAR(EDATE(TODAY(),0-1)))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'\\172.23.131.133\Planeacion\4.Plan de adquisiciones\Plan de Adquisiciones 2024 - ICFE\[17_Plan Anual Adquisiciones 2024_V17 en proceso.xlsx]Hoja1'!#REF!</xm:f>
          </x14:formula1>
          <xm:sqref>T306</xm:sqref>
        </x14:dataValidation>
        <x14:dataValidation type="list" allowBlank="1" showInputMessage="1" showErrorMessage="1" errorTitle="ERROR" error="ERROR" xr:uid="{00000000-0002-0000-0400-000001000000}">
          <x14:formula1>
            <xm:f>'\\172.23.131.133\Planeacion\4.Plan de adquisiciones\Plan de Adquisiciones 2023 - ICFE\[34.Plan Adquisiciones 2023 ICFE.xlsx]Hoja1'!#REF!</xm:f>
          </x14:formula1>
          <xm:sqref>T184 T209</xm:sqref>
        </x14:dataValidation>
        <x14:dataValidation type="list" allowBlank="1" showInputMessage="1" showErrorMessage="1" xr:uid="{00000000-0002-0000-0400-000002000000}">
          <x14:formula1>
            <xm:f>'\\172.23.131.133\Planeacion\4.Plan de adquisiciones\Plan de Adquisiciones 2024 - ICFE\[35_Plan Anual Adquisiciones 2024_35.xlsx]Hoja1'!#REF!</xm:f>
          </x14:formula1>
          <xm:sqref>T314:T326 T296:T299 T1:T183 T210:T226 T328:T332 T185:T208 T255 T339:T343 T307:T310 T347:T352 T301:T305 T312 T335 T230 T232:T233 T235:T236 T238:T240 T242:T246 T248:T250 T252:T253 T259:T283 T285:T287 T289:T294 T365:T414 T416:T1048576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49"/>
  <sheetViews>
    <sheetView topLeftCell="B1" zoomScale="69" zoomScaleNormal="69" workbookViewId="0">
      <selection activeCell="B35" sqref="B35"/>
    </sheetView>
  </sheetViews>
  <sheetFormatPr baseColWidth="10" defaultColWidth="11.5703125" defaultRowHeight="15" outlineLevelCol="1" x14ac:dyDescent="0.2"/>
  <cols>
    <col min="1" max="1" width="4" style="22" hidden="1" customWidth="1"/>
    <col min="2" max="2" width="13.140625" style="20" customWidth="1"/>
    <col min="3" max="3" width="12.5703125" style="20" customWidth="1"/>
    <col min="4" max="4" width="13.140625" style="20" customWidth="1"/>
    <col min="5" max="5" width="11" style="20" customWidth="1"/>
    <col min="6" max="6" width="11.7109375" style="20" customWidth="1"/>
    <col min="7" max="7" width="12.42578125" style="20" customWidth="1"/>
    <col min="8" max="8" width="9" style="20" customWidth="1"/>
    <col min="9" max="9" width="10.7109375" style="20" customWidth="1"/>
    <col min="10" max="10" width="9.7109375" style="20" customWidth="1"/>
    <col min="11" max="11" width="22.140625" style="20" hidden="1" customWidth="1"/>
    <col min="12" max="12" width="16" style="20" customWidth="1"/>
    <col min="13" max="13" width="84.140625" style="24" bestFit="1" customWidth="1"/>
    <col min="14" max="14" width="19.5703125" style="301" customWidth="1" outlineLevel="1"/>
    <col min="15" max="15" width="22.5703125" style="16" customWidth="1" outlineLevel="1"/>
    <col min="16" max="16" width="22.140625" style="17" customWidth="1" outlineLevel="1"/>
    <col min="17" max="17" width="28.5703125" style="18" customWidth="1" outlineLevel="1"/>
    <col min="18" max="18" width="20.85546875" style="19" customWidth="1"/>
    <col min="19" max="19" width="22.28515625" style="20" customWidth="1" outlineLevel="1"/>
    <col min="20" max="20" width="25" style="14" customWidth="1"/>
    <col min="21" max="21" width="26.7109375" style="21" customWidth="1"/>
    <col min="22" max="16384" width="11.5703125" style="22"/>
  </cols>
  <sheetData>
    <row r="1" spans="1:21" x14ac:dyDescent="0.2">
      <c r="B1" s="14"/>
      <c r="C1" s="14"/>
      <c r="D1" s="14"/>
      <c r="E1" s="14"/>
      <c r="F1" s="14"/>
      <c r="G1" s="14"/>
      <c r="H1" s="14"/>
      <c r="I1" s="14"/>
      <c r="J1" s="14"/>
      <c r="K1" s="14"/>
      <c r="L1" s="14"/>
      <c r="M1" s="14"/>
      <c r="N1" s="15"/>
    </row>
    <row r="2" spans="1:21" ht="15.75" x14ac:dyDescent="0.25">
      <c r="B2" s="23" t="s">
        <v>113233</v>
      </c>
      <c r="C2" s="14"/>
      <c r="D2" s="14"/>
      <c r="E2" s="14"/>
      <c r="F2" s="14"/>
      <c r="G2" s="14"/>
      <c r="H2" s="14"/>
      <c r="I2" s="14"/>
      <c r="J2" s="14"/>
      <c r="K2" s="14"/>
      <c r="L2" s="14"/>
      <c r="M2" s="14"/>
      <c r="N2" s="15"/>
    </row>
    <row r="3" spans="1:21" ht="15.75" x14ac:dyDescent="0.25">
      <c r="B3" s="23"/>
      <c r="C3" s="14"/>
      <c r="D3" s="14"/>
      <c r="E3" s="14"/>
      <c r="F3" s="14"/>
      <c r="G3" s="14"/>
      <c r="H3" s="14"/>
      <c r="I3" s="14"/>
      <c r="J3" s="14"/>
      <c r="K3" s="14"/>
      <c r="L3" s="14"/>
      <c r="M3" s="14"/>
      <c r="N3" s="15"/>
    </row>
    <row r="4" spans="1:21" ht="15.75" x14ac:dyDescent="0.25">
      <c r="B4" s="23" t="s">
        <v>112984</v>
      </c>
      <c r="C4" s="14"/>
      <c r="D4" s="14"/>
      <c r="E4" s="14"/>
      <c r="F4" s="14"/>
      <c r="G4" s="14"/>
      <c r="H4" s="14"/>
      <c r="I4" s="14"/>
      <c r="J4" s="14"/>
      <c r="K4" s="14"/>
      <c r="L4" s="14"/>
      <c r="N4" s="15"/>
    </row>
    <row r="5" spans="1:21" x14ac:dyDescent="0.2">
      <c r="B5" s="14"/>
      <c r="C5" s="14"/>
      <c r="D5" s="14"/>
      <c r="E5" s="14"/>
      <c r="F5" s="14"/>
      <c r="G5" s="14"/>
      <c r="H5" s="14"/>
      <c r="I5" s="14"/>
      <c r="J5" s="14"/>
      <c r="K5" s="14"/>
      <c r="L5" s="14"/>
      <c r="M5" s="14"/>
      <c r="N5" s="15"/>
    </row>
    <row r="6" spans="1:21" ht="45" x14ac:dyDescent="0.2">
      <c r="A6" s="310"/>
      <c r="B6" s="25" t="s">
        <v>105498</v>
      </c>
      <c r="C6" s="25" t="s">
        <v>105499</v>
      </c>
      <c r="D6" s="25" t="s">
        <v>105500</v>
      </c>
      <c r="E6" s="25" t="s">
        <v>105501</v>
      </c>
      <c r="F6" s="25" t="s">
        <v>105502</v>
      </c>
      <c r="G6" s="25" t="s">
        <v>105503</v>
      </c>
      <c r="H6" s="25" t="s">
        <v>105504</v>
      </c>
      <c r="I6" s="25" t="s">
        <v>105505</v>
      </c>
      <c r="J6" s="25" t="s">
        <v>112985</v>
      </c>
      <c r="K6" s="26" t="s">
        <v>112986</v>
      </c>
      <c r="L6" s="27" t="s">
        <v>112987</v>
      </c>
      <c r="M6" s="28" t="s">
        <v>112988</v>
      </c>
      <c r="N6" s="28" t="s">
        <v>112989</v>
      </c>
      <c r="O6" s="29" t="s">
        <v>112990</v>
      </c>
      <c r="P6" s="28" t="s">
        <v>112991</v>
      </c>
      <c r="Q6" s="28" t="s">
        <v>112992</v>
      </c>
      <c r="R6" s="30" t="s">
        <v>113234</v>
      </c>
      <c r="S6" s="31" t="s">
        <v>113235</v>
      </c>
      <c r="T6" s="31" t="s">
        <v>113236</v>
      </c>
      <c r="U6" s="28" t="s">
        <v>112993</v>
      </c>
    </row>
    <row r="7" spans="1:21" ht="15.75" x14ac:dyDescent="0.2">
      <c r="A7" s="311"/>
      <c r="B7" s="33" t="s">
        <v>105516</v>
      </c>
      <c r="C7" s="33" t="s">
        <v>105573</v>
      </c>
      <c r="D7" s="33"/>
      <c r="E7" s="33"/>
      <c r="F7" s="33"/>
      <c r="G7" s="33"/>
      <c r="H7" s="33"/>
      <c r="I7" s="33"/>
      <c r="J7" s="33"/>
      <c r="K7" s="34"/>
      <c r="L7" s="35"/>
      <c r="M7" s="36" t="s">
        <v>112994</v>
      </c>
      <c r="N7" s="37" t="s">
        <v>112995</v>
      </c>
      <c r="O7" s="37" t="s">
        <v>112995</v>
      </c>
      <c r="P7" s="38"/>
      <c r="Q7" s="38"/>
      <c r="R7" s="39">
        <f>+R8+R24</f>
        <v>5969000000</v>
      </c>
      <c r="S7" s="40">
        <v>5969000000</v>
      </c>
      <c r="T7" s="41">
        <f>+R7-S7</f>
        <v>0</v>
      </c>
      <c r="U7" s="42" t="s">
        <v>112995</v>
      </c>
    </row>
    <row r="8" spans="1:21" s="53" customFormat="1" ht="15.75" x14ac:dyDescent="0.25">
      <c r="A8" s="312"/>
      <c r="B8" s="43" t="s">
        <v>105516</v>
      </c>
      <c r="C8" s="43" t="s">
        <v>105573</v>
      </c>
      <c r="D8" s="43" t="s">
        <v>105520</v>
      </c>
      <c r="E8" s="43"/>
      <c r="F8" s="43"/>
      <c r="G8" s="43"/>
      <c r="H8" s="43"/>
      <c r="I8" s="43"/>
      <c r="J8" s="43"/>
      <c r="K8" s="44"/>
      <c r="L8" s="45"/>
      <c r="M8" s="46" t="s">
        <v>106083</v>
      </c>
      <c r="N8" s="47" t="s">
        <v>112995</v>
      </c>
      <c r="O8" s="47" t="s">
        <v>112995</v>
      </c>
      <c r="P8" s="48"/>
      <c r="Q8" s="48"/>
      <c r="R8" s="49">
        <f>+R9</f>
        <v>79700000</v>
      </c>
      <c r="S8" s="50"/>
      <c r="T8" s="51"/>
      <c r="U8" s="52" t="s">
        <v>112995</v>
      </c>
    </row>
    <row r="9" spans="1:21" x14ac:dyDescent="0.2">
      <c r="A9" s="310"/>
      <c r="B9" s="54" t="s">
        <v>105516</v>
      </c>
      <c r="C9" s="54" t="s">
        <v>105573</v>
      </c>
      <c r="D9" s="54" t="s">
        <v>105520</v>
      </c>
      <c r="E9" s="54" t="s">
        <v>105520</v>
      </c>
      <c r="F9" s="54"/>
      <c r="G9" s="54"/>
      <c r="H9" s="54"/>
      <c r="I9" s="54"/>
      <c r="J9" s="54"/>
      <c r="K9" s="55"/>
      <c r="L9" s="55"/>
      <c r="M9" s="56" t="s">
        <v>106085</v>
      </c>
      <c r="N9" s="57" t="s">
        <v>112995</v>
      </c>
      <c r="O9" s="57" t="s">
        <v>112995</v>
      </c>
      <c r="P9" s="58"/>
      <c r="Q9" s="58"/>
      <c r="R9" s="59">
        <f>+R10+R18</f>
        <v>79700000</v>
      </c>
      <c r="S9" s="60"/>
      <c r="T9" s="61"/>
      <c r="U9" s="62"/>
    </row>
    <row r="10" spans="1:21" hidden="1" x14ac:dyDescent="0.2">
      <c r="A10" s="310"/>
      <c r="B10" s="63" t="s">
        <v>105516</v>
      </c>
      <c r="C10" s="63" t="s">
        <v>105573</v>
      </c>
      <c r="D10" s="63" t="s">
        <v>105520</v>
      </c>
      <c r="E10" s="63" t="s">
        <v>105520</v>
      </c>
      <c r="F10" s="63" t="s">
        <v>105541</v>
      </c>
      <c r="G10" s="63"/>
      <c r="H10" s="63"/>
      <c r="I10" s="63"/>
      <c r="J10" s="63"/>
      <c r="K10" s="64"/>
      <c r="L10" s="65"/>
      <c r="M10" s="66" t="s">
        <v>106230</v>
      </c>
      <c r="N10" s="67" t="s">
        <v>112995</v>
      </c>
      <c r="O10" s="67" t="s">
        <v>112995</v>
      </c>
      <c r="P10" s="68"/>
      <c r="Q10" s="68"/>
      <c r="R10" s="69">
        <f>+R11+R15</f>
        <v>0</v>
      </c>
      <c r="S10" s="70"/>
      <c r="T10" s="70"/>
      <c r="U10" s="71"/>
    </row>
    <row r="11" spans="1:21" hidden="1" x14ac:dyDescent="0.2">
      <c r="A11" s="310"/>
      <c r="B11" s="72" t="s">
        <v>105516</v>
      </c>
      <c r="C11" s="72" t="s">
        <v>105573</v>
      </c>
      <c r="D11" s="72" t="s">
        <v>105520</v>
      </c>
      <c r="E11" s="72" t="s">
        <v>105520</v>
      </c>
      <c r="F11" s="72" t="s">
        <v>105541</v>
      </c>
      <c r="G11" s="72" t="s">
        <v>105541</v>
      </c>
      <c r="H11" s="72"/>
      <c r="I11" s="72"/>
      <c r="J11" s="72"/>
      <c r="K11" s="73"/>
      <c r="L11" s="73"/>
      <c r="M11" s="74" t="s">
        <v>106246</v>
      </c>
      <c r="N11" s="75" t="s">
        <v>112995</v>
      </c>
      <c r="O11" s="75" t="s">
        <v>112995</v>
      </c>
      <c r="P11" s="76"/>
      <c r="Q11" s="76"/>
      <c r="R11" s="77">
        <f>+R12</f>
        <v>0</v>
      </c>
      <c r="S11" s="78"/>
      <c r="T11" s="78"/>
      <c r="U11" s="79"/>
    </row>
    <row r="12" spans="1:21" hidden="1" x14ac:dyDescent="0.2">
      <c r="A12" s="310"/>
      <c r="B12" s="80" t="s">
        <v>105516</v>
      </c>
      <c r="C12" s="80" t="s">
        <v>105573</v>
      </c>
      <c r="D12" s="80" t="s">
        <v>105520</v>
      </c>
      <c r="E12" s="80" t="s">
        <v>105520</v>
      </c>
      <c r="F12" s="80" t="s">
        <v>105541</v>
      </c>
      <c r="G12" s="80" t="s">
        <v>105541</v>
      </c>
      <c r="H12" s="81" t="s">
        <v>105573</v>
      </c>
      <c r="I12" s="80"/>
      <c r="J12" s="80"/>
      <c r="K12" s="80"/>
      <c r="L12" s="80"/>
      <c r="M12" s="82" t="s">
        <v>106250</v>
      </c>
      <c r="N12" s="83" t="s">
        <v>112995</v>
      </c>
      <c r="O12" s="83" t="s">
        <v>112995</v>
      </c>
      <c r="P12" s="84"/>
      <c r="Q12" s="84"/>
      <c r="R12" s="85">
        <f>SUM(R13:R14)</f>
        <v>0</v>
      </c>
      <c r="S12" s="86"/>
      <c r="T12" s="86"/>
      <c r="U12" s="87"/>
    </row>
    <row r="13" spans="1:21" ht="41.25" hidden="1" customHeight="1" x14ac:dyDescent="0.2">
      <c r="A13" s="310"/>
      <c r="B13" s="88"/>
      <c r="C13" s="89"/>
      <c r="D13" s="89"/>
      <c r="E13" s="89"/>
      <c r="F13" s="89"/>
      <c r="G13" s="89"/>
      <c r="H13" s="89"/>
      <c r="I13" s="89"/>
      <c r="J13" s="90"/>
      <c r="K13" s="90" t="s">
        <v>106245</v>
      </c>
      <c r="L13" s="91" t="s">
        <v>112996</v>
      </c>
      <c r="M13" s="92" t="s">
        <v>113237</v>
      </c>
      <c r="N13" s="93">
        <v>45442</v>
      </c>
      <c r="O13" s="93" t="s">
        <v>112997</v>
      </c>
      <c r="P13" s="94" t="s">
        <v>113199</v>
      </c>
      <c r="Q13" s="94" t="s">
        <v>112999</v>
      </c>
      <c r="R13" s="313">
        <v>0</v>
      </c>
      <c r="S13" s="96"/>
      <c r="T13" s="97"/>
      <c r="U13" s="98" t="s">
        <v>113000</v>
      </c>
    </row>
    <row r="14" spans="1:21" hidden="1" x14ac:dyDescent="0.2">
      <c r="A14" s="310"/>
      <c r="B14" s="88"/>
      <c r="C14" s="89"/>
      <c r="D14" s="89"/>
      <c r="E14" s="89"/>
      <c r="F14" s="89"/>
      <c r="G14" s="89"/>
      <c r="H14" s="89"/>
      <c r="I14" s="89"/>
      <c r="J14" s="90"/>
      <c r="K14" s="90" t="s">
        <v>106245</v>
      </c>
      <c r="L14" s="55" t="s">
        <v>113238</v>
      </c>
      <c r="M14" s="100" t="s">
        <v>113239</v>
      </c>
      <c r="N14" s="93">
        <v>45369</v>
      </c>
      <c r="O14" s="93" t="s">
        <v>113006</v>
      </c>
      <c r="P14" s="94" t="s">
        <v>113028</v>
      </c>
      <c r="Q14" s="94" t="s">
        <v>113052</v>
      </c>
      <c r="R14" s="314">
        <v>0</v>
      </c>
      <c r="S14" s="96"/>
      <c r="T14" s="97"/>
      <c r="U14" s="98" t="s">
        <v>113003</v>
      </c>
    </row>
    <row r="15" spans="1:21" hidden="1" x14ac:dyDescent="0.2">
      <c r="A15" s="310"/>
      <c r="B15" s="72" t="s">
        <v>105516</v>
      </c>
      <c r="C15" s="72" t="s">
        <v>105573</v>
      </c>
      <c r="D15" s="72" t="s">
        <v>105520</v>
      </c>
      <c r="E15" s="72" t="s">
        <v>105520</v>
      </c>
      <c r="F15" s="72" t="s">
        <v>105541</v>
      </c>
      <c r="G15" s="72" t="s">
        <v>105544</v>
      </c>
      <c r="H15" s="72"/>
      <c r="I15" s="72"/>
      <c r="J15" s="72"/>
      <c r="K15" s="73"/>
      <c r="L15" s="73"/>
      <c r="M15" s="74" t="s">
        <v>106264</v>
      </c>
      <c r="N15" s="75" t="s">
        <v>112995</v>
      </c>
      <c r="O15" s="75" t="s">
        <v>112995</v>
      </c>
      <c r="P15" s="76" t="s">
        <v>112995</v>
      </c>
      <c r="Q15" s="76"/>
      <c r="R15" s="77">
        <f>+R16</f>
        <v>0</v>
      </c>
      <c r="S15" s="78"/>
      <c r="T15" s="78"/>
      <c r="U15" s="79"/>
    </row>
    <row r="16" spans="1:21" hidden="1" x14ac:dyDescent="0.2">
      <c r="A16" s="310"/>
      <c r="B16" s="80" t="s">
        <v>105516</v>
      </c>
      <c r="C16" s="80" t="s">
        <v>105573</v>
      </c>
      <c r="D16" s="80" t="s">
        <v>105520</v>
      </c>
      <c r="E16" s="80" t="s">
        <v>105520</v>
      </c>
      <c r="F16" s="80" t="s">
        <v>105541</v>
      </c>
      <c r="G16" s="80" t="s">
        <v>105544</v>
      </c>
      <c r="H16" s="80" t="s">
        <v>105573</v>
      </c>
      <c r="I16" s="80"/>
      <c r="J16" s="80"/>
      <c r="K16" s="80"/>
      <c r="L16" s="80"/>
      <c r="M16" s="82" t="s">
        <v>113005</v>
      </c>
      <c r="N16" s="83" t="s">
        <v>112995</v>
      </c>
      <c r="O16" s="83" t="s">
        <v>112995</v>
      </c>
      <c r="P16" s="84" t="s">
        <v>112995</v>
      </c>
      <c r="Q16" s="84"/>
      <c r="R16" s="85">
        <f>+R17</f>
        <v>0</v>
      </c>
      <c r="S16" s="86"/>
      <c r="T16" s="86"/>
      <c r="U16" s="101"/>
    </row>
    <row r="17" spans="1:21" ht="30" hidden="1" x14ac:dyDescent="0.2">
      <c r="A17" s="310"/>
      <c r="B17" s="88"/>
      <c r="C17" s="89"/>
      <c r="D17" s="89"/>
      <c r="E17" s="89"/>
      <c r="F17" s="89"/>
      <c r="G17" s="89"/>
      <c r="H17" s="89"/>
      <c r="I17" s="89"/>
      <c r="J17" s="90"/>
      <c r="K17" s="90" t="s">
        <v>106263</v>
      </c>
      <c r="L17" s="55">
        <v>43211500</v>
      </c>
      <c r="M17" s="102" t="s">
        <v>113240</v>
      </c>
      <c r="N17" s="93">
        <v>45362</v>
      </c>
      <c r="O17" s="93" t="s">
        <v>113006</v>
      </c>
      <c r="P17" s="94" t="s">
        <v>113007</v>
      </c>
      <c r="Q17" s="94" t="s">
        <v>113038</v>
      </c>
      <c r="R17" s="314">
        <v>0</v>
      </c>
      <c r="S17" s="103"/>
      <c r="T17" s="104"/>
      <c r="U17" s="98" t="s">
        <v>113003</v>
      </c>
    </row>
    <row r="18" spans="1:21" x14ac:dyDescent="0.2">
      <c r="A18" s="310"/>
      <c r="B18" s="63" t="s">
        <v>105516</v>
      </c>
      <c r="C18" s="63" t="s">
        <v>105573</v>
      </c>
      <c r="D18" s="63" t="s">
        <v>105520</v>
      </c>
      <c r="E18" s="63" t="s">
        <v>105520</v>
      </c>
      <c r="F18" s="63" t="s">
        <v>105547</v>
      </c>
      <c r="G18" s="63"/>
      <c r="H18" s="63"/>
      <c r="I18" s="63"/>
      <c r="J18" s="63"/>
      <c r="K18" s="64"/>
      <c r="L18" s="65"/>
      <c r="M18" s="66" t="s">
        <v>106350</v>
      </c>
      <c r="N18" s="67"/>
      <c r="O18" s="67"/>
      <c r="P18" s="68"/>
      <c r="Q18" s="68"/>
      <c r="R18" s="69">
        <f>+R19</f>
        <v>79700000</v>
      </c>
      <c r="S18" s="70"/>
      <c r="T18" s="70"/>
      <c r="U18" s="71"/>
    </row>
    <row r="19" spans="1:21" x14ac:dyDescent="0.2">
      <c r="A19" s="310"/>
      <c r="B19" s="72" t="s">
        <v>105516</v>
      </c>
      <c r="C19" s="72" t="s">
        <v>105573</v>
      </c>
      <c r="D19" s="72" t="s">
        <v>105520</v>
      </c>
      <c r="E19" s="72" t="s">
        <v>105520</v>
      </c>
      <c r="F19" s="72" t="s">
        <v>105547</v>
      </c>
      <c r="G19" s="72" t="s">
        <v>105535</v>
      </c>
      <c r="H19" s="72"/>
      <c r="I19" s="72"/>
      <c r="J19" s="72"/>
      <c r="K19" s="73"/>
      <c r="L19" s="73"/>
      <c r="M19" s="74" t="s">
        <v>106388</v>
      </c>
      <c r="N19" s="75"/>
      <c r="O19" s="75"/>
      <c r="P19" s="76"/>
      <c r="Q19" s="76"/>
      <c r="R19" s="77">
        <f>+R20</f>
        <v>79700000</v>
      </c>
      <c r="S19" s="78"/>
      <c r="T19" s="78"/>
      <c r="U19" s="79"/>
    </row>
    <row r="20" spans="1:21" x14ac:dyDescent="0.2">
      <c r="A20" s="310"/>
      <c r="B20" s="80" t="s">
        <v>105516</v>
      </c>
      <c r="C20" s="80" t="s">
        <v>105573</v>
      </c>
      <c r="D20" s="80" t="s">
        <v>105520</v>
      </c>
      <c r="E20" s="80" t="s">
        <v>105520</v>
      </c>
      <c r="F20" s="80" t="s">
        <v>105547</v>
      </c>
      <c r="G20" s="80" t="s">
        <v>105535</v>
      </c>
      <c r="H20" s="80" t="s">
        <v>105675</v>
      </c>
      <c r="I20" s="80"/>
      <c r="J20" s="80"/>
      <c r="K20" s="80"/>
      <c r="L20" s="80"/>
      <c r="M20" s="82" t="s">
        <v>106404</v>
      </c>
      <c r="N20" s="83"/>
      <c r="O20" s="83"/>
      <c r="P20" s="84"/>
      <c r="Q20" s="84"/>
      <c r="R20" s="85">
        <f>+R21</f>
        <v>79700000</v>
      </c>
      <c r="S20" s="86"/>
      <c r="T20" s="86"/>
      <c r="U20" s="101"/>
    </row>
    <row r="21" spans="1:21" x14ac:dyDescent="0.2">
      <c r="A21" s="310"/>
      <c r="B21" s="80" t="s">
        <v>105516</v>
      </c>
      <c r="C21" s="80" t="s">
        <v>105573</v>
      </c>
      <c r="D21" s="80" t="s">
        <v>105520</v>
      </c>
      <c r="E21" s="80" t="s">
        <v>105520</v>
      </c>
      <c r="F21" s="80" t="s">
        <v>105547</v>
      </c>
      <c r="G21" s="80" t="s">
        <v>105535</v>
      </c>
      <c r="H21" s="80" t="s">
        <v>105675</v>
      </c>
      <c r="I21" s="80" t="s">
        <v>105576</v>
      </c>
      <c r="J21" s="80"/>
      <c r="K21" s="80"/>
      <c r="L21" s="80"/>
      <c r="M21" s="82" t="s">
        <v>106406</v>
      </c>
      <c r="N21" s="83"/>
      <c r="O21" s="83"/>
      <c r="P21" s="84"/>
      <c r="Q21" s="84"/>
      <c r="R21" s="85">
        <f>+R22</f>
        <v>79700000</v>
      </c>
      <c r="S21" s="86"/>
      <c r="T21" s="86"/>
      <c r="U21" s="101"/>
    </row>
    <row r="22" spans="1:21" x14ac:dyDescent="0.2">
      <c r="A22" s="310"/>
      <c r="B22" s="80" t="s">
        <v>105516</v>
      </c>
      <c r="C22" s="80" t="s">
        <v>105573</v>
      </c>
      <c r="D22" s="80" t="s">
        <v>105520</v>
      </c>
      <c r="E22" s="80" t="s">
        <v>105520</v>
      </c>
      <c r="F22" s="80" t="s">
        <v>105547</v>
      </c>
      <c r="G22" s="80" t="s">
        <v>105535</v>
      </c>
      <c r="H22" s="80" t="s">
        <v>105675</v>
      </c>
      <c r="I22" s="80" t="s">
        <v>105576</v>
      </c>
      <c r="J22" s="80" t="s">
        <v>105520</v>
      </c>
      <c r="K22" s="80"/>
      <c r="L22" s="80"/>
      <c r="M22" s="82" t="s">
        <v>106408</v>
      </c>
      <c r="N22" s="83"/>
      <c r="O22" s="83"/>
      <c r="P22" s="84"/>
      <c r="Q22" s="84"/>
      <c r="R22" s="85">
        <f>+R23</f>
        <v>79700000</v>
      </c>
      <c r="S22" s="86"/>
      <c r="T22" s="86"/>
      <c r="U22" s="101"/>
    </row>
    <row r="23" spans="1:21" ht="30" x14ac:dyDescent="0.2">
      <c r="A23" s="310"/>
      <c r="B23" s="88"/>
      <c r="C23" s="89"/>
      <c r="D23" s="89"/>
      <c r="E23" s="89"/>
      <c r="F23" s="89"/>
      <c r="G23" s="89"/>
      <c r="H23" s="89"/>
      <c r="I23" s="89"/>
      <c r="J23" s="90"/>
      <c r="K23" s="90" t="s">
        <v>106387</v>
      </c>
      <c r="L23" s="55">
        <v>43231500</v>
      </c>
      <c r="M23" s="92" t="s">
        <v>113009</v>
      </c>
      <c r="N23" s="93">
        <v>45443</v>
      </c>
      <c r="O23" s="93" t="s">
        <v>113208</v>
      </c>
      <c r="P23" s="94" t="s">
        <v>113028</v>
      </c>
      <c r="Q23" s="94" t="s">
        <v>112999</v>
      </c>
      <c r="R23" s="95">
        <v>79700000</v>
      </c>
      <c r="S23" s="96"/>
      <c r="T23" s="97"/>
      <c r="U23" s="98" t="s">
        <v>113012</v>
      </c>
    </row>
    <row r="24" spans="1:21" s="53" customFormat="1" ht="15.75" x14ac:dyDescent="0.25">
      <c r="A24" s="312"/>
      <c r="B24" s="43" t="s">
        <v>105516</v>
      </c>
      <c r="C24" s="43" t="s">
        <v>105573</v>
      </c>
      <c r="D24" s="43" t="s">
        <v>105573</v>
      </c>
      <c r="E24" s="43"/>
      <c r="F24" s="43"/>
      <c r="G24" s="43"/>
      <c r="H24" s="43"/>
      <c r="I24" s="43"/>
      <c r="J24" s="43"/>
      <c r="K24" s="44"/>
      <c r="L24" s="45"/>
      <c r="M24" s="46" t="s">
        <v>106435</v>
      </c>
      <c r="N24" s="47"/>
      <c r="O24" s="47"/>
      <c r="P24" s="48"/>
      <c r="Q24" s="48"/>
      <c r="R24" s="49">
        <f>+R25+R88</f>
        <v>5889300000</v>
      </c>
      <c r="S24" s="50"/>
      <c r="T24" s="50"/>
      <c r="U24" s="52"/>
    </row>
    <row r="25" spans="1:21" x14ac:dyDescent="0.2">
      <c r="A25" s="310"/>
      <c r="B25" s="54" t="s">
        <v>105516</v>
      </c>
      <c r="C25" s="54" t="s">
        <v>105573</v>
      </c>
      <c r="D25" s="54" t="s">
        <v>105573</v>
      </c>
      <c r="E25" s="54" t="s">
        <v>105520</v>
      </c>
      <c r="F25" s="54"/>
      <c r="G25" s="54"/>
      <c r="H25" s="54"/>
      <c r="I25" s="54"/>
      <c r="J25" s="54"/>
      <c r="K25" s="55"/>
      <c r="L25" s="55"/>
      <c r="M25" s="56" t="s">
        <v>106437</v>
      </c>
      <c r="N25" s="57"/>
      <c r="O25" s="57"/>
      <c r="P25" s="58"/>
      <c r="Q25" s="58"/>
      <c r="R25" s="59">
        <f>+R26+R30+R42+R69</f>
        <v>534200000</v>
      </c>
      <c r="S25" s="60"/>
      <c r="T25" s="60"/>
      <c r="U25" s="105"/>
    </row>
    <row r="26" spans="1:21" x14ac:dyDescent="0.2">
      <c r="A26" s="310"/>
      <c r="B26" s="63" t="s">
        <v>105516</v>
      </c>
      <c r="C26" s="63" t="s">
        <v>105573</v>
      </c>
      <c r="D26" s="63" t="s">
        <v>105573</v>
      </c>
      <c r="E26" s="63" t="s">
        <v>105520</v>
      </c>
      <c r="F26" s="63" t="s">
        <v>106438</v>
      </c>
      <c r="G26" s="63"/>
      <c r="H26" s="63"/>
      <c r="I26" s="63"/>
      <c r="J26" s="63"/>
      <c r="K26" s="64"/>
      <c r="L26" s="65"/>
      <c r="M26" s="66" t="s">
        <v>106440</v>
      </c>
      <c r="N26" s="67"/>
      <c r="O26" s="67"/>
      <c r="P26" s="68"/>
      <c r="Q26" s="68"/>
      <c r="R26" s="69">
        <f>+R27</f>
        <v>5000000</v>
      </c>
      <c r="S26" s="70"/>
      <c r="T26" s="70"/>
      <c r="U26" s="71"/>
    </row>
    <row r="27" spans="1:21" x14ac:dyDescent="0.2">
      <c r="A27" s="310"/>
      <c r="B27" s="72" t="s">
        <v>105516</v>
      </c>
      <c r="C27" s="72" t="s">
        <v>105573</v>
      </c>
      <c r="D27" s="72" t="s">
        <v>105573</v>
      </c>
      <c r="E27" s="72" t="s">
        <v>105520</v>
      </c>
      <c r="F27" s="72" t="s">
        <v>106438</v>
      </c>
      <c r="G27" s="72" t="s">
        <v>105528</v>
      </c>
      <c r="H27" s="72"/>
      <c r="I27" s="72"/>
      <c r="J27" s="72"/>
      <c r="K27" s="73"/>
      <c r="L27" s="73"/>
      <c r="M27" s="74" t="s">
        <v>106442</v>
      </c>
      <c r="N27" s="75"/>
      <c r="O27" s="75"/>
      <c r="P27" s="76"/>
      <c r="Q27" s="76"/>
      <c r="R27" s="77">
        <f>+R28</f>
        <v>5000000</v>
      </c>
      <c r="S27" s="78"/>
      <c r="T27" s="78"/>
      <c r="U27" s="79"/>
    </row>
    <row r="28" spans="1:21" x14ac:dyDescent="0.2">
      <c r="A28" s="310"/>
      <c r="B28" s="106" t="s">
        <v>105516</v>
      </c>
      <c r="C28" s="106" t="s">
        <v>105573</v>
      </c>
      <c r="D28" s="106" t="s">
        <v>105573</v>
      </c>
      <c r="E28" s="106" t="s">
        <v>105520</v>
      </c>
      <c r="F28" s="106" t="s">
        <v>106438</v>
      </c>
      <c r="G28" s="106" t="s">
        <v>105528</v>
      </c>
      <c r="H28" s="106" t="s">
        <v>106100</v>
      </c>
      <c r="I28" s="106"/>
      <c r="J28" s="106"/>
      <c r="K28" s="107"/>
      <c r="L28" s="108"/>
      <c r="M28" s="109" t="s">
        <v>106454</v>
      </c>
      <c r="N28" s="110"/>
      <c r="O28" s="110"/>
      <c r="P28" s="111"/>
      <c r="Q28" s="111"/>
      <c r="R28" s="112">
        <f>+R29</f>
        <v>5000000</v>
      </c>
      <c r="S28" s="113"/>
      <c r="T28" s="113"/>
      <c r="U28" s="114"/>
    </row>
    <row r="29" spans="1:21" ht="30" x14ac:dyDescent="0.2">
      <c r="A29" s="310"/>
      <c r="B29" s="115"/>
      <c r="C29" s="116"/>
      <c r="D29" s="116"/>
      <c r="E29" s="116"/>
      <c r="F29" s="116"/>
      <c r="G29" s="116"/>
      <c r="H29" s="116"/>
      <c r="I29" s="116"/>
      <c r="J29" s="117"/>
      <c r="K29" s="90" t="s">
        <v>106441</v>
      </c>
      <c r="L29" s="91">
        <v>50201700</v>
      </c>
      <c r="M29" s="102" t="s">
        <v>113013</v>
      </c>
      <c r="N29" s="93">
        <v>45412</v>
      </c>
      <c r="O29" s="93" t="s">
        <v>113087</v>
      </c>
      <c r="P29" s="94" t="s">
        <v>113002</v>
      </c>
      <c r="Q29" s="94" t="s">
        <v>113008</v>
      </c>
      <c r="R29" s="95">
        <v>5000000</v>
      </c>
      <c r="S29" s="96"/>
      <c r="T29" s="97"/>
      <c r="U29" s="98" t="s">
        <v>113012</v>
      </c>
    </row>
    <row r="30" spans="1:21" ht="30" x14ac:dyDescent="0.2">
      <c r="A30" s="310"/>
      <c r="B30" s="63" t="s">
        <v>105516</v>
      </c>
      <c r="C30" s="63" t="s">
        <v>105573</v>
      </c>
      <c r="D30" s="63" t="s">
        <v>105573</v>
      </c>
      <c r="E30" s="63" t="s">
        <v>105520</v>
      </c>
      <c r="F30" s="63" t="s">
        <v>105535</v>
      </c>
      <c r="G30" s="63"/>
      <c r="H30" s="63"/>
      <c r="I30" s="63"/>
      <c r="J30" s="63"/>
      <c r="K30" s="64"/>
      <c r="L30" s="65"/>
      <c r="M30" s="66" t="s">
        <v>106527</v>
      </c>
      <c r="N30" s="67"/>
      <c r="O30" s="67"/>
      <c r="P30" s="68"/>
      <c r="Q30" s="68"/>
      <c r="R30" s="69">
        <f>+R31+R36+R39</f>
        <v>118800000</v>
      </c>
      <c r="S30" s="70"/>
      <c r="T30" s="70"/>
      <c r="U30" s="71"/>
    </row>
    <row r="31" spans="1:21" ht="30" x14ac:dyDescent="0.2">
      <c r="A31" s="310"/>
      <c r="B31" s="72" t="s">
        <v>105516</v>
      </c>
      <c r="C31" s="72" t="s">
        <v>105573</v>
      </c>
      <c r="D31" s="72" t="s">
        <v>105573</v>
      </c>
      <c r="E31" s="72" t="s">
        <v>105520</v>
      </c>
      <c r="F31" s="72" t="s">
        <v>105535</v>
      </c>
      <c r="G31" s="72" t="s">
        <v>105538</v>
      </c>
      <c r="H31" s="72"/>
      <c r="I31" s="72"/>
      <c r="J31" s="72"/>
      <c r="K31" s="73"/>
      <c r="L31" s="73"/>
      <c r="M31" s="74" t="s">
        <v>106547</v>
      </c>
      <c r="N31" s="75"/>
      <c r="O31" s="75"/>
      <c r="P31" s="76"/>
      <c r="Q31" s="76"/>
      <c r="R31" s="77">
        <f>+R32+R34</f>
        <v>18000000</v>
      </c>
      <c r="S31" s="78"/>
      <c r="T31" s="78"/>
      <c r="U31" s="79"/>
    </row>
    <row r="32" spans="1:21" x14ac:dyDescent="0.2">
      <c r="A32" s="310"/>
      <c r="B32" s="80" t="s">
        <v>105516</v>
      </c>
      <c r="C32" s="80" t="s">
        <v>105573</v>
      </c>
      <c r="D32" s="80" t="s">
        <v>105573</v>
      </c>
      <c r="E32" s="80" t="s">
        <v>105520</v>
      </c>
      <c r="F32" s="80" t="s">
        <v>105535</v>
      </c>
      <c r="G32" s="80" t="s">
        <v>105538</v>
      </c>
      <c r="H32" s="80" t="s">
        <v>105924</v>
      </c>
      <c r="I32" s="80"/>
      <c r="J32" s="80"/>
      <c r="K32" s="80"/>
      <c r="L32" s="80"/>
      <c r="M32" s="82" t="s">
        <v>106557</v>
      </c>
      <c r="N32" s="83"/>
      <c r="O32" s="83"/>
      <c r="P32" s="84"/>
      <c r="Q32" s="84"/>
      <c r="R32" s="85">
        <f>+R33</f>
        <v>9000000</v>
      </c>
      <c r="S32" s="86"/>
      <c r="T32" s="86"/>
      <c r="U32" s="101"/>
    </row>
    <row r="33" spans="1:21" ht="30" x14ac:dyDescent="0.2">
      <c r="A33" s="310"/>
      <c r="B33" s="88"/>
      <c r="C33" s="89"/>
      <c r="D33" s="89"/>
      <c r="E33" s="89"/>
      <c r="F33" s="89"/>
      <c r="G33" s="89"/>
      <c r="H33" s="89"/>
      <c r="I33" s="89"/>
      <c r="J33" s="90"/>
      <c r="K33" s="90" t="s">
        <v>106546</v>
      </c>
      <c r="L33" s="91">
        <v>50161500</v>
      </c>
      <c r="M33" s="102" t="s">
        <v>113014</v>
      </c>
      <c r="N33" s="93">
        <v>45412</v>
      </c>
      <c r="O33" s="93" t="s">
        <v>113087</v>
      </c>
      <c r="P33" s="94" t="s">
        <v>113002</v>
      </c>
      <c r="Q33" s="94" t="s">
        <v>113008</v>
      </c>
      <c r="R33" s="95">
        <v>9000000</v>
      </c>
      <c r="S33" s="96"/>
      <c r="T33" s="97"/>
      <c r="U33" s="98" t="s">
        <v>113012</v>
      </c>
    </row>
    <row r="34" spans="1:21" x14ac:dyDescent="0.2">
      <c r="A34" s="310"/>
      <c r="B34" s="80" t="s">
        <v>105516</v>
      </c>
      <c r="C34" s="80" t="s">
        <v>105573</v>
      </c>
      <c r="D34" s="80" t="s">
        <v>105573</v>
      </c>
      <c r="E34" s="80" t="s">
        <v>105520</v>
      </c>
      <c r="F34" s="80" t="s">
        <v>105535</v>
      </c>
      <c r="G34" s="80" t="s">
        <v>105538</v>
      </c>
      <c r="H34" s="80" t="s">
        <v>106106</v>
      </c>
      <c r="I34" s="80"/>
      <c r="J34" s="80"/>
      <c r="K34" s="80"/>
      <c r="L34" s="80"/>
      <c r="M34" s="82" t="s">
        <v>106563</v>
      </c>
      <c r="N34" s="83"/>
      <c r="O34" s="83"/>
      <c r="P34" s="84"/>
      <c r="Q34" s="84"/>
      <c r="R34" s="85">
        <f>+R35</f>
        <v>9000000</v>
      </c>
      <c r="S34" s="86"/>
      <c r="T34" s="86"/>
      <c r="U34" s="101"/>
    </row>
    <row r="35" spans="1:21" ht="30" x14ac:dyDescent="0.2">
      <c r="A35" s="310"/>
      <c r="B35" s="88"/>
      <c r="C35" s="89"/>
      <c r="D35" s="89"/>
      <c r="E35" s="89"/>
      <c r="F35" s="89"/>
      <c r="G35" s="89"/>
      <c r="H35" s="89"/>
      <c r="I35" s="89"/>
      <c r="J35" s="90"/>
      <c r="K35" s="90" t="s">
        <v>106546</v>
      </c>
      <c r="L35" s="55">
        <v>50161500</v>
      </c>
      <c r="M35" s="102" t="s">
        <v>113015</v>
      </c>
      <c r="N35" s="93">
        <v>45412</v>
      </c>
      <c r="O35" s="93" t="s">
        <v>113087</v>
      </c>
      <c r="P35" s="94" t="s">
        <v>113002</v>
      </c>
      <c r="Q35" s="94" t="s">
        <v>113008</v>
      </c>
      <c r="R35" s="95">
        <v>9000000</v>
      </c>
      <c r="S35" s="96"/>
      <c r="T35" s="97"/>
      <c r="U35" s="98" t="s">
        <v>113012</v>
      </c>
    </row>
    <row r="36" spans="1:21" x14ac:dyDescent="0.2">
      <c r="A36" s="310"/>
      <c r="B36" s="72" t="s">
        <v>105516</v>
      </c>
      <c r="C36" s="72" t="s">
        <v>105573</v>
      </c>
      <c r="D36" s="72" t="s">
        <v>105573</v>
      </c>
      <c r="E36" s="72" t="s">
        <v>105520</v>
      </c>
      <c r="F36" s="72" t="s">
        <v>105535</v>
      </c>
      <c r="G36" s="72" t="s">
        <v>105550</v>
      </c>
      <c r="H36" s="72"/>
      <c r="I36" s="72"/>
      <c r="J36" s="72"/>
      <c r="K36" s="73"/>
      <c r="L36" s="73"/>
      <c r="M36" s="74" t="s">
        <v>106581</v>
      </c>
      <c r="N36" s="75"/>
      <c r="O36" s="75"/>
      <c r="P36" s="76"/>
      <c r="Q36" s="76"/>
      <c r="R36" s="77">
        <f>SUM(R37:R38)</f>
        <v>800000</v>
      </c>
      <c r="S36" s="78"/>
      <c r="T36" s="78"/>
      <c r="U36" s="79"/>
    </row>
    <row r="37" spans="1:21" ht="30" x14ac:dyDescent="0.2">
      <c r="A37" s="310"/>
      <c r="B37" s="88"/>
      <c r="C37" s="89"/>
      <c r="D37" s="89"/>
      <c r="E37" s="89"/>
      <c r="F37" s="89"/>
      <c r="G37" s="89"/>
      <c r="H37" s="89"/>
      <c r="I37" s="89"/>
      <c r="J37" s="90"/>
      <c r="K37" s="90" t="s">
        <v>106580</v>
      </c>
      <c r="L37" s="55">
        <v>14121500</v>
      </c>
      <c r="M37" s="102" t="s">
        <v>113016</v>
      </c>
      <c r="N37" s="93">
        <v>45412</v>
      </c>
      <c r="O37" s="93" t="s">
        <v>113087</v>
      </c>
      <c r="P37" s="94" t="s">
        <v>113002</v>
      </c>
      <c r="Q37" s="94" t="s">
        <v>113008</v>
      </c>
      <c r="R37" s="95">
        <v>800000</v>
      </c>
      <c r="S37" s="96"/>
      <c r="T37" s="97"/>
      <c r="U37" s="98" t="s">
        <v>113012</v>
      </c>
    </row>
    <row r="38" spans="1:21" ht="46.5" hidden="1" customHeight="1" x14ac:dyDescent="0.2">
      <c r="A38" s="310"/>
      <c r="B38" s="88"/>
      <c r="C38" s="89"/>
      <c r="D38" s="89"/>
      <c r="E38" s="89"/>
      <c r="F38" s="89"/>
      <c r="G38" s="89"/>
      <c r="H38" s="89"/>
      <c r="I38" s="89"/>
      <c r="J38" s="90"/>
      <c r="K38" s="90" t="s">
        <v>106580</v>
      </c>
      <c r="L38" s="91" t="s">
        <v>113241</v>
      </c>
      <c r="M38" s="102" t="s">
        <v>113017</v>
      </c>
      <c r="N38" s="93">
        <v>45345</v>
      </c>
      <c r="O38" s="93" t="s">
        <v>113037</v>
      </c>
      <c r="P38" s="94" t="s">
        <v>113028</v>
      </c>
      <c r="Q38" s="94" t="s">
        <v>112999</v>
      </c>
      <c r="R38" s="313">
        <v>0</v>
      </c>
      <c r="S38" s="96"/>
      <c r="T38" s="97"/>
      <c r="U38" s="98" t="s">
        <v>113019</v>
      </c>
    </row>
    <row r="39" spans="1:21" x14ac:dyDescent="0.2">
      <c r="A39" s="310"/>
      <c r="B39" s="72" t="s">
        <v>105516</v>
      </c>
      <c r="C39" s="72" t="s">
        <v>105573</v>
      </c>
      <c r="D39" s="72" t="s">
        <v>105573</v>
      </c>
      <c r="E39" s="72" t="s">
        <v>105520</v>
      </c>
      <c r="F39" s="72" t="s">
        <v>105535</v>
      </c>
      <c r="G39" s="72" t="s">
        <v>105553</v>
      </c>
      <c r="H39" s="72"/>
      <c r="I39" s="72"/>
      <c r="J39" s="72"/>
      <c r="K39" s="73"/>
      <c r="L39" s="73"/>
      <c r="M39" s="74" t="s">
        <v>106583</v>
      </c>
      <c r="N39" s="75"/>
      <c r="O39" s="75"/>
      <c r="P39" s="76"/>
      <c r="Q39" s="76"/>
      <c r="R39" s="77">
        <f>SUM(R40:R41)</f>
        <v>100000000</v>
      </c>
      <c r="S39" s="78"/>
      <c r="T39" s="78"/>
      <c r="U39" s="79"/>
    </row>
    <row r="40" spans="1:21" ht="45" x14ac:dyDescent="0.2">
      <c r="A40" s="310"/>
      <c r="B40" s="88"/>
      <c r="C40" s="89"/>
      <c r="D40" s="89"/>
      <c r="E40" s="89"/>
      <c r="F40" s="89"/>
      <c r="G40" s="89"/>
      <c r="H40" s="89"/>
      <c r="I40" s="89"/>
      <c r="J40" s="90"/>
      <c r="K40" s="90" t="s">
        <v>106582</v>
      </c>
      <c r="L40" s="91" t="s">
        <v>113020</v>
      </c>
      <c r="M40" s="102" t="s">
        <v>113021</v>
      </c>
      <c r="N40" s="93">
        <v>45488</v>
      </c>
      <c r="O40" s="93" t="s">
        <v>112997</v>
      </c>
      <c r="P40" s="94" t="s">
        <v>113155</v>
      </c>
      <c r="Q40" s="94" t="s">
        <v>113038</v>
      </c>
      <c r="R40" s="95">
        <v>100000000</v>
      </c>
      <c r="S40" s="96"/>
      <c r="T40" s="97"/>
      <c r="U40" s="98" t="s">
        <v>113012</v>
      </c>
    </row>
    <row r="41" spans="1:21" ht="45" hidden="1" customHeight="1" x14ac:dyDescent="0.2">
      <c r="A41" s="310"/>
      <c r="B41" s="88"/>
      <c r="C41" s="89"/>
      <c r="D41" s="89"/>
      <c r="E41" s="89"/>
      <c r="F41" s="89"/>
      <c r="G41" s="89"/>
      <c r="H41" s="89"/>
      <c r="I41" s="89"/>
      <c r="J41" s="90"/>
      <c r="K41" s="90" t="s">
        <v>106582</v>
      </c>
      <c r="L41" s="91" t="s">
        <v>113241</v>
      </c>
      <c r="M41" s="102" t="s">
        <v>113023</v>
      </c>
      <c r="N41" s="93">
        <v>45345</v>
      </c>
      <c r="O41" s="93" t="s">
        <v>113037</v>
      </c>
      <c r="P41" s="94" t="s">
        <v>113028</v>
      </c>
      <c r="Q41" s="94" t="s">
        <v>112999</v>
      </c>
      <c r="R41" s="313">
        <v>0</v>
      </c>
      <c r="S41" s="96"/>
      <c r="T41" s="97"/>
      <c r="U41" s="98" t="s">
        <v>113019</v>
      </c>
    </row>
    <row r="42" spans="1:21" ht="30" x14ac:dyDescent="0.2">
      <c r="A42" s="310"/>
      <c r="B42" s="63" t="s">
        <v>105516</v>
      </c>
      <c r="C42" s="63" t="s">
        <v>105573</v>
      </c>
      <c r="D42" s="63" t="s">
        <v>105573</v>
      </c>
      <c r="E42" s="63" t="s">
        <v>105520</v>
      </c>
      <c r="F42" s="63" t="s">
        <v>105538</v>
      </c>
      <c r="G42" s="63"/>
      <c r="H42" s="63"/>
      <c r="I42" s="63"/>
      <c r="J42" s="63"/>
      <c r="K42" s="64"/>
      <c r="L42" s="65"/>
      <c r="M42" s="66" t="s">
        <v>106589</v>
      </c>
      <c r="N42" s="67"/>
      <c r="O42" s="67"/>
      <c r="P42" s="68"/>
      <c r="Q42" s="68"/>
      <c r="R42" s="69">
        <f>+R43+R49+R54+R59+R66</f>
        <v>246800000</v>
      </c>
      <c r="S42" s="70"/>
      <c r="T42" s="70"/>
      <c r="U42" s="71"/>
    </row>
    <row r="43" spans="1:21" ht="30" x14ac:dyDescent="0.2">
      <c r="A43" s="310"/>
      <c r="B43" s="72" t="s">
        <v>105516</v>
      </c>
      <c r="C43" s="72" t="s">
        <v>105573</v>
      </c>
      <c r="D43" s="72" t="s">
        <v>105573</v>
      </c>
      <c r="E43" s="72" t="s">
        <v>105520</v>
      </c>
      <c r="F43" s="72" t="s">
        <v>105538</v>
      </c>
      <c r="G43" s="72" t="s">
        <v>105535</v>
      </c>
      <c r="H43" s="72"/>
      <c r="I43" s="72"/>
      <c r="J43" s="72"/>
      <c r="K43" s="73"/>
      <c r="L43" s="73"/>
      <c r="M43" s="74" t="s">
        <v>106593</v>
      </c>
      <c r="N43" s="75"/>
      <c r="O43" s="75"/>
      <c r="P43" s="76"/>
      <c r="Q43" s="76"/>
      <c r="R43" s="77">
        <f>+R44+R47</f>
        <v>67000000</v>
      </c>
      <c r="S43" s="78"/>
      <c r="T43" s="78"/>
      <c r="U43" s="79"/>
    </row>
    <row r="44" spans="1:21" x14ac:dyDescent="0.2">
      <c r="A44" s="310"/>
      <c r="B44" s="80" t="s">
        <v>105516</v>
      </c>
      <c r="C44" s="80" t="s">
        <v>105573</v>
      </c>
      <c r="D44" s="80" t="s">
        <v>105573</v>
      </c>
      <c r="E44" s="80" t="s">
        <v>105520</v>
      </c>
      <c r="F44" s="80" t="s">
        <v>105538</v>
      </c>
      <c r="G44" s="80" t="s">
        <v>105535</v>
      </c>
      <c r="H44" s="80" t="s">
        <v>105520</v>
      </c>
      <c r="I44" s="80"/>
      <c r="J44" s="80"/>
      <c r="K44" s="80"/>
      <c r="L44" s="80"/>
      <c r="M44" s="82" t="s">
        <v>106595</v>
      </c>
      <c r="N44" s="83"/>
      <c r="O44" s="83"/>
      <c r="P44" s="84"/>
      <c r="Q44" s="84"/>
      <c r="R44" s="85">
        <f>SUM(R45:R46)</f>
        <v>61500000</v>
      </c>
      <c r="S44" s="86"/>
      <c r="T44" s="86"/>
      <c r="U44" s="101"/>
    </row>
    <row r="45" spans="1:21" ht="45" x14ac:dyDescent="0.2">
      <c r="A45" s="310"/>
      <c r="B45" s="88"/>
      <c r="C45" s="89"/>
      <c r="D45" s="89"/>
      <c r="E45" s="89"/>
      <c r="F45" s="89"/>
      <c r="G45" s="89"/>
      <c r="H45" s="89"/>
      <c r="I45" s="89"/>
      <c r="J45" s="90"/>
      <c r="K45" s="90" t="s">
        <v>106592</v>
      </c>
      <c r="L45" s="91" t="s">
        <v>113024</v>
      </c>
      <c r="M45" s="102" t="s">
        <v>113025</v>
      </c>
      <c r="N45" s="93">
        <v>45412</v>
      </c>
      <c r="O45" s="93" t="s">
        <v>113087</v>
      </c>
      <c r="P45" s="94" t="s">
        <v>113002</v>
      </c>
      <c r="Q45" s="94" t="s">
        <v>113008</v>
      </c>
      <c r="R45" s="95">
        <v>16500000</v>
      </c>
      <c r="S45" s="96"/>
      <c r="T45" s="97"/>
      <c r="U45" s="98" t="s">
        <v>113012</v>
      </c>
    </row>
    <row r="46" spans="1:21" ht="186.75" customHeight="1" x14ac:dyDescent="0.2">
      <c r="A46" s="310"/>
      <c r="B46" s="88"/>
      <c r="C46" s="89"/>
      <c r="D46" s="89"/>
      <c r="E46" s="89"/>
      <c r="F46" s="89"/>
      <c r="G46" s="89"/>
      <c r="H46" s="89"/>
      <c r="I46" s="89"/>
      <c r="J46" s="90"/>
      <c r="K46" s="90" t="s">
        <v>106592</v>
      </c>
      <c r="L46" s="91" t="s">
        <v>113026</v>
      </c>
      <c r="M46" s="92" t="s">
        <v>113027</v>
      </c>
      <c r="N46" s="93">
        <v>45381</v>
      </c>
      <c r="O46" s="93" t="s">
        <v>113006</v>
      </c>
      <c r="P46" s="94" t="s">
        <v>113028</v>
      </c>
      <c r="Q46" s="94" t="s">
        <v>113008</v>
      </c>
      <c r="R46" s="95">
        <v>45000000</v>
      </c>
      <c r="S46" s="96"/>
      <c r="T46" s="97"/>
      <c r="U46" s="98" t="s">
        <v>113029</v>
      </c>
    </row>
    <row r="47" spans="1:21" ht="30" x14ac:dyDescent="0.2">
      <c r="A47" s="310"/>
      <c r="B47" s="80" t="s">
        <v>105516</v>
      </c>
      <c r="C47" s="80" t="s">
        <v>105573</v>
      </c>
      <c r="D47" s="80" t="s">
        <v>105573</v>
      </c>
      <c r="E47" s="80" t="s">
        <v>105520</v>
      </c>
      <c r="F47" s="80" t="s">
        <v>105538</v>
      </c>
      <c r="G47" s="80" t="s">
        <v>105535</v>
      </c>
      <c r="H47" s="80" t="s">
        <v>105917</v>
      </c>
      <c r="I47" s="80"/>
      <c r="J47" s="80"/>
      <c r="K47" s="80"/>
      <c r="L47" s="80"/>
      <c r="M47" s="82" t="s">
        <v>106601</v>
      </c>
      <c r="N47" s="83"/>
      <c r="O47" s="83"/>
      <c r="P47" s="84"/>
      <c r="Q47" s="84"/>
      <c r="R47" s="85">
        <f>SUM(R48:R48)</f>
        <v>5500000</v>
      </c>
      <c r="S47" s="86"/>
      <c r="T47" s="86"/>
      <c r="U47" s="101"/>
    </row>
    <row r="48" spans="1:21" x14ac:dyDescent="0.2">
      <c r="A48" s="310"/>
      <c r="B48" s="88"/>
      <c r="C48" s="89"/>
      <c r="D48" s="89"/>
      <c r="E48" s="89"/>
      <c r="F48" s="89"/>
      <c r="G48" s="89"/>
      <c r="H48" s="89"/>
      <c r="I48" s="89"/>
      <c r="J48" s="90"/>
      <c r="K48" s="90" t="s">
        <v>106592</v>
      </c>
      <c r="L48" s="55"/>
      <c r="M48" s="92" t="s">
        <v>113030</v>
      </c>
      <c r="N48" s="93" t="s">
        <v>113031</v>
      </c>
      <c r="O48" s="93" t="s">
        <v>113031</v>
      </c>
      <c r="P48" s="93" t="s">
        <v>113031</v>
      </c>
      <c r="Q48" s="93" t="s">
        <v>113031</v>
      </c>
      <c r="R48" s="95">
        <v>5500000</v>
      </c>
      <c r="S48" s="96"/>
      <c r="T48" s="97"/>
      <c r="U48" s="98" t="s">
        <v>113032</v>
      </c>
    </row>
    <row r="49" spans="1:21" ht="30" x14ac:dyDescent="0.2">
      <c r="A49" s="310"/>
      <c r="B49" s="72" t="s">
        <v>105516</v>
      </c>
      <c r="C49" s="72" t="s">
        <v>105573</v>
      </c>
      <c r="D49" s="72" t="s">
        <v>105573</v>
      </c>
      <c r="E49" s="72" t="s">
        <v>105520</v>
      </c>
      <c r="F49" s="72" t="s">
        <v>105538</v>
      </c>
      <c r="G49" s="72" t="s">
        <v>105538</v>
      </c>
      <c r="H49" s="72"/>
      <c r="I49" s="72"/>
      <c r="J49" s="72"/>
      <c r="K49" s="73"/>
      <c r="L49" s="73"/>
      <c r="M49" s="74" t="s">
        <v>106611</v>
      </c>
      <c r="N49" s="75"/>
      <c r="O49" s="75"/>
      <c r="P49" s="76"/>
      <c r="Q49" s="76"/>
      <c r="R49" s="77">
        <f>+R50+R52</f>
        <v>50000000</v>
      </c>
      <c r="S49" s="78"/>
      <c r="T49" s="78"/>
      <c r="U49" s="79"/>
    </row>
    <row r="50" spans="1:21" ht="60" x14ac:dyDescent="0.2">
      <c r="A50" s="310"/>
      <c r="B50" s="80" t="s">
        <v>105516</v>
      </c>
      <c r="C50" s="80" t="s">
        <v>105573</v>
      </c>
      <c r="D50" s="80" t="s">
        <v>105573</v>
      </c>
      <c r="E50" s="80" t="s">
        <v>105520</v>
      </c>
      <c r="F50" s="80" t="s">
        <v>105538</v>
      </c>
      <c r="G50" s="80" t="s">
        <v>105538</v>
      </c>
      <c r="H50" s="80" t="s">
        <v>105675</v>
      </c>
      <c r="I50" s="80"/>
      <c r="J50" s="80"/>
      <c r="K50" s="80"/>
      <c r="L50" s="80"/>
      <c r="M50" s="82" t="s">
        <v>106617</v>
      </c>
      <c r="N50" s="83"/>
      <c r="O50" s="83"/>
      <c r="P50" s="84"/>
      <c r="Q50" s="84"/>
      <c r="R50" s="85">
        <f>+R51</f>
        <v>10000000</v>
      </c>
      <c r="S50" s="86"/>
      <c r="T50" s="86"/>
      <c r="U50" s="101"/>
    </row>
    <row r="51" spans="1:21" ht="30" x14ac:dyDescent="0.2">
      <c r="A51" s="310"/>
      <c r="B51" s="88"/>
      <c r="C51" s="89"/>
      <c r="D51" s="89"/>
      <c r="E51" s="89"/>
      <c r="F51" s="89"/>
      <c r="G51" s="89"/>
      <c r="H51" s="89"/>
      <c r="I51" s="89"/>
      <c r="J51" s="90"/>
      <c r="K51" s="90" t="s">
        <v>106610</v>
      </c>
      <c r="L51" s="55">
        <v>15121500</v>
      </c>
      <c r="M51" s="92" t="s">
        <v>113033</v>
      </c>
      <c r="N51" s="93">
        <v>45319</v>
      </c>
      <c r="O51" s="93" t="s">
        <v>113037</v>
      </c>
      <c r="P51" s="94" t="s">
        <v>113022</v>
      </c>
      <c r="Q51" s="94" t="s">
        <v>113034</v>
      </c>
      <c r="R51" s="95">
        <v>10000000</v>
      </c>
      <c r="S51" s="96"/>
      <c r="T51" s="97"/>
      <c r="U51" s="98" t="s">
        <v>113035</v>
      </c>
    </row>
    <row r="52" spans="1:21" ht="30" x14ac:dyDescent="0.2">
      <c r="A52" s="310"/>
      <c r="B52" s="80" t="s">
        <v>105516</v>
      </c>
      <c r="C52" s="80" t="s">
        <v>105573</v>
      </c>
      <c r="D52" s="80" t="s">
        <v>105573</v>
      </c>
      <c r="E52" s="80" t="s">
        <v>105520</v>
      </c>
      <c r="F52" s="80" t="s">
        <v>105538</v>
      </c>
      <c r="G52" s="80" t="s">
        <v>105538</v>
      </c>
      <c r="H52" s="80" t="s">
        <v>105917</v>
      </c>
      <c r="I52" s="80"/>
      <c r="J52" s="80"/>
      <c r="K52" s="80"/>
      <c r="L52" s="80"/>
      <c r="M52" s="82" t="s">
        <v>106619</v>
      </c>
      <c r="N52" s="83"/>
      <c r="O52" s="83"/>
      <c r="P52" s="84"/>
      <c r="Q52" s="84"/>
      <c r="R52" s="85">
        <f>+R53</f>
        <v>40000000</v>
      </c>
      <c r="S52" s="86"/>
      <c r="T52" s="86"/>
      <c r="U52" s="101"/>
    </row>
    <row r="53" spans="1:21" ht="30" x14ac:dyDescent="0.2">
      <c r="A53" s="310"/>
      <c r="B53" s="88"/>
      <c r="C53" s="89"/>
      <c r="D53" s="89"/>
      <c r="E53" s="89"/>
      <c r="F53" s="89"/>
      <c r="G53" s="89"/>
      <c r="H53" s="89"/>
      <c r="I53" s="89"/>
      <c r="J53" s="90"/>
      <c r="K53" s="90" t="s">
        <v>106610</v>
      </c>
      <c r="L53" s="55">
        <v>15121500</v>
      </c>
      <c r="M53" s="100" t="s">
        <v>113036</v>
      </c>
      <c r="N53" s="93">
        <v>45306</v>
      </c>
      <c r="O53" s="93" t="s">
        <v>113060</v>
      </c>
      <c r="P53" s="94" t="s">
        <v>113200</v>
      </c>
      <c r="Q53" s="94" t="s">
        <v>113038</v>
      </c>
      <c r="R53" s="95">
        <v>40000000</v>
      </c>
      <c r="S53" s="96"/>
      <c r="T53" s="97"/>
      <c r="U53" s="98" t="s">
        <v>113035</v>
      </c>
    </row>
    <row r="54" spans="1:21" ht="30" x14ac:dyDescent="0.2">
      <c r="A54" s="310"/>
      <c r="B54" s="72" t="s">
        <v>105516</v>
      </c>
      <c r="C54" s="72" t="s">
        <v>105573</v>
      </c>
      <c r="D54" s="72" t="s">
        <v>105573</v>
      </c>
      <c r="E54" s="72" t="s">
        <v>105520</v>
      </c>
      <c r="F54" s="72" t="s">
        <v>105538</v>
      </c>
      <c r="G54" s="72" t="s">
        <v>105544</v>
      </c>
      <c r="H54" s="72"/>
      <c r="I54" s="72"/>
      <c r="J54" s="72"/>
      <c r="K54" s="73"/>
      <c r="L54" s="73"/>
      <c r="M54" s="74" t="s">
        <v>106645</v>
      </c>
      <c r="N54" s="75"/>
      <c r="O54" s="75"/>
      <c r="P54" s="76"/>
      <c r="Q54" s="76"/>
      <c r="R54" s="77">
        <f>+R55+R57</f>
        <v>80000000</v>
      </c>
      <c r="S54" s="78"/>
      <c r="T54" s="78"/>
      <c r="U54" s="79"/>
    </row>
    <row r="55" spans="1:21" ht="30" x14ac:dyDescent="0.2">
      <c r="A55" s="310"/>
      <c r="B55" s="80" t="s">
        <v>105516</v>
      </c>
      <c r="C55" s="80" t="s">
        <v>105573</v>
      </c>
      <c r="D55" s="80" t="s">
        <v>105573</v>
      </c>
      <c r="E55" s="80" t="s">
        <v>105520</v>
      </c>
      <c r="F55" s="80" t="s">
        <v>105538</v>
      </c>
      <c r="G55" s="80" t="s">
        <v>105544</v>
      </c>
      <c r="H55" s="81" t="s">
        <v>105520</v>
      </c>
      <c r="I55" s="80"/>
      <c r="J55" s="80"/>
      <c r="K55" s="80"/>
      <c r="L55" s="80"/>
      <c r="M55" s="82" t="s">
        <v>106647</v>
      </c>
      <c r="N55" s="83"/>
      <c r="O55" s="83"/>
      <c r="P55" s="84"/>
      <c r="Q55" s="84"/>
      <c r="R55" s="85">
        <f>+R56</f>
        <v>65000000</v>
      </c>
      <c r="S55" s="86"/>
      <c r="T55" s="86"/>
      <c r="U55" s="101"/>
    </row>
    <row r="56" spans="1:21" x14ac:dyDescent="0.2">
      <c r="A56" s="310"/>
      <c r="B56" s="88"/>
      <c r="C56" s="89"/>
      <c r="D56" s="89"/>
      <c r="E56" s="89"/>
      <c r="F56" s="89"/>
      <c r="G56" s="89"/>
      <c r="H56" s="89"/>
      <c r="I56" s="89"/>
      <c r="J56" s="90"/>
      <c r="K56" s="90" t="s">
        <v>106644</v>
      </c>
      <c r="L56" s="91">
        <v>44103100</v>
      </c>
      <c r="M56" s="92" t="s">
        <v>113039</v>
      </c>
      <c r="N56" s="93">
        <v>45352</v>
      </c>
      <c r="O56" s="93" t="s">
        <v>113006</v>
      </c>
      <c r="P56" s="94" t="s">
        <v>113040</v>
      </c>
      <c r="Q56" s="94" t="s">
        <v>113242</v>
      </c>
      <c r="R56" s="95">
        <v>65000000</v>
      </c>
      <c r="S56" s="96"/>
      <c r="T56" s="97"/>
      <c r="U56" s="98" t="s">
        <v>113003</v>
      </c>
    </row>
    <row r="57" spans="1:21" ht="30" x14ac:dyDescent="0.2">
      <c r="A57" s="310"/>
      <c r="B57" s="80" t="s">
        <v>105516</v>
      </c>
      <c r="C57" s="80" t="s">
        <v>105573</v>
      </c>
      <c r="D57" s="80" t="s">
        <v>105573</v>
      </c>
      <c r="E57" s="80" t="s">
        <v>105520</v>
      </c>
      <c r="F57" s="80" t="s">
        <v>105538</v>
      </c>
      <c r="G57" s="80" t="s">
        <v>105544</v>
      </c>
      <c r="H57" s="80" t="s">
        <v>105675</v>
      </c>
      <c r="I57" s="80"/>
      <c r="J57" s="80"/>
      <c r="K57" s="80"/>
      <c r="L57" s="80"/>
      <c r="M57" s="82" t="s">
        <v>106651</v>
      </c>
      <c r="N57" s="83"/>
      <c r="O57" s="83"/>
      <c r="P57" s="84"/>
      <c r="Q57" s="84"/>
      <c r="R57" s="85">
        <f>+R58</f>
        <v>15000000</v>
      </c>
      <c r="S57" s="86"/>
      <c r="T57" s="86"/>
      <c r="U57" s="101"/>
    </row>
    <row r="58" spans="1:21" ht="30" x14ac:dyDescent="0.2">
      <c r="A58" s="310"/>
      <c r="B58" s="88"/>
      <c r="C58" s="89"/>
      <c r="D58" s="89"/>
      <c r="E58" s="89"/>
      <c r="F58" s="89"/>
      <c r="G58" s="89"/>
      <c r="H58" s="89"/>
      <c r="I58" s="89"/>
      <c r="J58" s="90"/>
      <c r="K58" s="90" t="s">
        <v>106644</v>
      </c>
      <c r="L58" s="91" t="s">
        <v>113042</v>
      </c>
      <c r="M58" s="92" t="s">
        <v>113043</v>
      </c>
      <c r="N58" s="93">
        <v>45412</v>
      </c>
      <c r="O58" s="93" t="s">
        <v>113087</v>
      </c>
      <c r="P58" s="94" t="s">
        <v>113040</v>
      </c>
      <c r="Q58" s="94" t="s">
        <v>113008</v>
      </c>
      <c r="R58" s="95">
        <v>15000000</v>
      </c>
      <c r="S58" s="96"/>
      <c r="T58" s="97"/>
      <c r="U58" s="98" t="s">
        <v>113012</v>
      </c>
    </row>
    <row r="59" spans="1:21" x14ac:dyDescent="0.2">
      <c r="A59" s="310"/>
      <c r="B59" s="72" t="s">
        <v>105516</v>
      </c>
      <c r="C59" s="72" t="s">
        <v>105573</v>
      </c>
      <c r="D59" s="72" t="s">
        <v>105573</v>
      </c>
      <c r="E59" s="72" t="s">
        <v>105520</v>
      </c>
      <c r="F59" s="72" t="s">
        <v>105538</v>
      </c>
      <c r="G59" s="72" t="s">
        <v>105547</v>
      </c>
      <c r="H59" s="72"/>
      <c r="I59" s="72"/>
      <c r="J59" s="72"/>
      <c r="K59" s="73"/>
      <c r="L59" s="73"/>
      <c r="M59" s="74" t="s">
        <v>106657</v>
      </c>
      <c r="N59" s="75"/>
      <c r="O59" s="75"/>
      <c r="P59" s="76"/>
      <c r="Q59" s="76"/>
      <c r="R59" s="77">
        <f>+R60+R62+R64</f>
        <v>20000000</v>
      </c>
      <c r="S59" s="78"/>
      <c r="T59" s="78"/>
      <c r="U59" s="79"/>
    </row>
    <row r="60" spans="1:21" x14ac:dyDescent="0.2">
      <c r="A60" s="310"/>
      <c r="B60" s="80" t="s">
        <v>105516</v>
      </c>
      <c r="C60" s="80" t="s">
        <v>105573</v>
      </c>
      <c r="D60" s="80" t="s">
        <v>105573</v>
      </c>
      <c r="E60" s="80" t="s">
        <v>105520</v>
      </c>
      <c r="F60" s="80" t="s">
        <v>105538</v>
      </c>
      <c r="G60" s="80" t="s">
        <v>105547</v>
      </c>
      <c r="H60" s="80" t="s">
        <v>105520</v>
      </c>
      <c r="I60" s="80"/>
      <c r="J60" s="80"/>
      <c r="K60" s="80"/>
      <c r="L60" s="80"/>
      <c r="M60" s="82" t="s">
        <v>106659</v>
      </c>
      <c r="N60" s="83"/>
      <c r="O60" s="83"/>
      <c r="P60" s="84"/>
      <c r="Q60" s="84"/>
      <c r="R60" s="85">
        <f>+R61</f>
        <v>10000000</v>
      </c>
      <c r="S60" s="86"/>
      <c r="T60" s="86"/>
      <c r="U60" s="101"/>
    </row>
    <row r="61" spans="1:21" ht="30" x14ac:dyDescent="0.2">
      <c r="A61" s="310"/>
      <c r="B61" s="88"/>
      <c r="C61" s="89"/>
      <c r="D61" s="89"/>
      <c r="E61" s="89"/>
      <c r="F61" s="89"/>
      <c r="G61" s="89"/>
      <c r="H61" s="89"/>
      <c r="I61" s="89"/>
      <c r="J61" s="90"/>
      <c r="K61" s="90" t="s">
        <v>106656</v>
      </c>
      <c r="L61" s="55">
        <v>25172500</v>
      </c>
      <c r="M61" s="92" t="s">
        <v>113044</v>
      </c>
      <c r="N61" s="93">
        <v>45337</v>
      </c>
      <c r="O61" s="93" t="s">
        <v>113001</v>
      </c>
      <c r="P61" s="94" t="s">
        <v>113201</v>
      </c>
      <c r="Q61" s="94" t="s">
        <v>113243</v>
      </c>
      <c r="R61" s="95">
        <v>10000000</v>
      </c>
      <c r="S61" s="96"/>
      <c r="T61" s="97"/>
      <c r="U61" s="98" t="s">
        <v>113035</v>
      </c>
    </row>
    <row r="62" spans="1:21" hidden="1" x14ac:dyDescent="0.2">
      <c r="A62" s="310"/>
      <c r="B62" s="80" t="s">
        <v>105516</v>
      </c>
      <c r="C62" s="80" t="s">
        <v>105573</v>
      </c>
      <c r="D62" s="80" t="s">
        <v>105573</v>
      </c>
      <c r="E62" s="80" t="s">
        <v>105520</v>
      </c>
      <c r="F62" s="80" t="s">
        <v>105538</v>
      </c>
      <c r="G62" s="80" t="s">
        <v>105547</v>
      </c>
      <c r="H62" s="80" t="s">
        <v>105573</v>
      </c>
      <c r="I62" s="80"/>
      <c r="J62" s="80"/>
      <c r="K62" s="80"/>
      <c r="L62" s="80"/>
      <c r="M62" s="82" t="s">
        <v>106661</v>
      </c>
      <c r="N62" s="83"/>
      <c r="O62" s="83"/>
      <c r="P62" s="84"/>
      <c r="Q62" s="84"/>
      <c r="R62" s="85">
        <f>+R63</f>
        <v>0</v>
      </c>
      <c r="S62" s="86"/>
      <c r="T62" s="86"/>
      <c r="U62" s="101"/>
    </row>
    <row r="63" spans="1:21" ht="40.5" hidden="1" customHeight="1" x14ac:dyDescent="0.2">
      <c r="A63" s="310"/>
      <c r="B63" s="88"/>
      <c r="C63" s="89"/>
      <c r="D63" s="89"/>
      <c r="E63" s="89"/>
      <c r="F63" s="89"/>
      <c r="G63" s="89"/>
      <c r="H63" s="89"/>
      <c r="I63" s="89"/>
      <c r="J63" s="90"/>
      <c r="K63" s="90" t="s">
        <v>106656</v>
      </c>
      <c r="L63" s="119" t="s">
        <v>113241</v>
      </c>
      <c r="M63" s="120" t="s">
        <v>113046</v>
      </c>
      <c r="N63" s="121">
        <v>45345</v>
      </c>
      <c r="O63" s="93" t="s">
        <v>113037</v>
      </c>
      <c r="P63" s="94" t="s">
        <v>113028</v>
      </c>
      <c r="Q63" s="94" t="s">
        <v>112999</v>
      </c>
      <c r="R63" s="313">
        <v>0</v>
      </c>
      <c r="S63" s="96"/>
      <c r="T63" s="97"/>
      <c r="U63" s="98" t="s">
        <v>113019</v>
      </c>
    </row>
    <row r="64" spans="1:21" x14ac:dyDescent="0.2">
      <c r="A64" s="310"/>
      <c r="B64" s="80" t="s">
        <v>105516</v>
      </c>
      <c r="C64" s="80" t="s">
        <v>105573</v>
      </c>
      <c r="D64" s="80" t="s">
        <v>105573</v>
      </c>
      <c r="E64" s="80" t="s">
        <v>105520</v>
      </c>
      <c r="F64" s="80" t="s">
        <v>105538</v>
      </c>
      <c r="G64" s="80" t="s">
        <v>105547</v>
      </c>
      <c r="H64" s="80" t="s">
        <v>106109</v>
      </c>
      <c r="I64" s="80"/>
      <c r="J64" s="80"/>
      <c r="K64" s="80"/>
      <c r="L64" s="122"/>
      <c r="M64" s="109" t="s">
        <v>106667</v>
      </c>
      <c r="N64" s="110"/>
      <c r="O64" s="110"/>
      <c r="P64" s="111"/>
      <c r="Q64" s="111"/>
      <c r="R64" s="112">
        <f>+R65</f>
        <v>10000000</v>
      </c>
      <c r="S64" s="113"/>
      <c r="T64" s="113"/>
      <c r="U64" s="114"/>
    </row>
    <row r="65" spans="1:21" ht="75" customHeight="1" x14ac:dyDescent="0.2">
      <c r="A65" s="310"/>
      <c r="B65" s="88"/>
      <c r="C65" s="89"/>
      <c r="D65" s="89"/>
      <c r="E65" s="89"/>
      <c r="F65" s="89"/>
      <c r="G65" s="89"/>
      <c r="H65" s="89"/>
      <c r="I65" s="89"/>
      <c r="J65" s="90"/>
      <c r="K65" s="90" t="s">
        <v>106656</v>
      </c>
      <c r="L65" s="91" t="s">
        <v>113047</v>
      </c>
      <c r="M65" s="92" t="s">
        <v>113048</v>
      </c>
      <c r="N65" s="93">
        <v>45412</v>
      </c>
      <c r="O65" s="93" t="s">
        <v>113087</v>
      </c>
      <c r="P65" s="94" t="s">
        <v>113002</v>
      </c>
      <c r="Q65" s="94" t="s">
        <v>113008</v>
      </c>
      <c r="R65" s="95">
        <v>10000000</v>
      </c>
      <c r="S65" s="96"/>
      <c r="T65" s="97"/>
      <c r="U65" s="98" t="s">
        <v>113012</v>
      </c>
    </row>
    <row r="66" spans="1:21" x14ac:dyDescent="0.2">
      <c r="A66" s="310"/>
      <c r="B66" s="72" t="s">
        <v>105516</v>
      </c>
      <c r="C66" s="72" t="s">
        <v>105573</v>
      </c>
      <c r="D66" s="72" t="s">
        <v>105573</v>
      </c>
      <c r="E66" s="72" t="s">
        <v>105520</v>
      </c>
      <c r="F66" s="72" t="s">
        <v>105538</v>
      </c>
      <c r="G66" s="72" t="s">
        <v>105553</v>
      </c>
      <c r="H66" s="72"/>
      <c r="I66" s="72"/>
      <c r="J66" s="72"/>
      <c r="K66" s="73"/>
      <c r="L66" s="73"/>
      <c r="M66" s="74" t="s">
        <v>106685</v>
      </c>
      <c r="N66" s="75"/>
      <c r="O66" s="75"/>
      <c r="P66" s="76"/>
      <c r="Q66" s="76"/>
      <c r="R66" s="77">
        <f>+R67</f>
        <v>29800000</v>
      </c>
      <c r="S66" s="78"/>
      <c r="T66" s="78"/>
      <c r="U66" s="79"/>
    </row>
    <row r="67" spans="1:21" x14ac:dyDescent="0.2">
      <c r="A67" s="310"/>
      <c r="B67" s="122" t="s">
        <v>105516</v>
      </c>
      <c r="C67" s="122" t="s">
        <v>105573</v>
      </c>
      <c r="D67" s="122" t="s">
        <v>105573</v>
      </c>
      <c r="E67" s="122" t="s">
        <v>105520</v>
      </c>
      <c r="F67" s="122" t="s">
        <v>105538</v>
      </c>
      <c r="G67" s="80" t="s">
        <v>105553</v>
      </c>
      <c r="H67" s="80" t="s">
        <v>106109</v>
      </c>
      <c r="I67" s="122"/>
      <c r="J67" s="122"/>
      <c r="K67" s="108"/>
      <c r="L67" s="108"/>
      <c r="M67" s="109" t="s">
        <v>106701</v>
      </c>
      <c r="N67" s="110"/>
      <c r="O67" s="110"/>
      <c r="P67" s="111"/>
      <c r="Q67" s="111"/>
      <c r="R67" s="112">
        <f>+R68</f>
        <v>29800000</v>
      </c>
      <c r="S67" s="113"/>
      <c r="T67" s="113"/>
      <c r="U67" s="114"/>
    </row>
    <row r="68" spans="1:21" s="123" customFormat="1" x14ac:dyDescent="0.25">
      <c r="A68" s="315"/>
      <c r="B68" s="88"/>
      <c r="C68" s="89"/>
      <c r="D68" s="89"/>
      <c r="E68" s="89"/>
      <c r="F68" s="89"/>
      <c r="G68" s="89"/>
      <c r="H68" s="89"/>
      <c r="I68" s="89"/>
      <c r="J68" s="90"/>
      <c r="K68" s="90" t="s">
        <v>106684</v>
      </c>
      <c r="L68" s="55"/>
      <c r="M68" s="92" t="s">
        <v>113049</v>
      </c>
      <c r="N68" s="93" t="s">
        <v>113031</v>
      </c>
      <c r="O68" s="93" t="s">
        <v>113031</v>
      </c>
      <c r="P68" s="93" t="s">
        <v>113031</v>
      </c>
      <c r="Q68" s="93" t="s">
        <v>113031</v>
      </c>
      <c r="R68" s="95">
        <v>29800000</v>
      </c>
      <c r="S68" s="96"/>
      <c r="T68" s="98"/>
      <c r="U68" s="98" t="s">
        <v>113032</v>
      </c>
    </row>
    <row r="69" spans="1:21" x14ac:dyDescent="0.2">
      <c r="A69" s="310"/>
      <c r="B69" s="63" t="s">
        <v>105516</v>
      </c>
      <c r="C69" s="63" t="s">
        <v>105573</v>
      </c>
      <c r="D69" s="63" t="s">
        <v>105573</v>
      </c>
      <c r="E69" s="63" t="s">
        <v>105520</v>
      </c>
      <c r="F69" s="63" t="s">
        <v>105541</v>
      </c>
      <c r="G69" s="63"/>
      <c r="H69" s="63"/>
      <c r="I69" s="63"/>
      <c r="J69" s="63"/>
      <c r="K69" s="64"/>
      <c r="L69" s="65"/>
      <c r="M69" s="66" t="s">
        <v>106705</v>
      </c>
      <c r="N69" s="67"/>
      <c r="O69" s="67"/>
      <c r="P69" s="68"/>
      <c r="Q69" s="68"/>
      <c r="R69" s="69">
        <f>+R70+R73+R76+R83</f>
        <v>163600000</v>
      </c>
      <c r="S69" s="70"/>
      <c r="T69" s="70"/>
      <c r="U69" s="71"/>
    </row>
    <row r="70" spans="1:21" x14ac:dyDescent="0.2">
      <c r="A70" s="310"/>
      <c r="B70" s="72" t="s">
        <v>105516</v>
      </c>
      <c r="C70" s="72" t="s">
        <v>105573</v>
      </c>
      <c r="D70" s="72" t="s">
        <v>105573</v>
      </c>
      <c r="E70" s="72" t="s">
        <v>105520</v>
      </c>
      <c r="F70" s="72" t="s">
        <v>105541</v>
      </c>
      <c r="G70" s="72" t="s">
        <v>105541</v>
      </c>
      <c r="H70" s="72"/>
      <c r="I70" s="72"/>
      <c r="J70" s="72"/>
      <c r="K70" s="73"/>
      <c r="L70" s="73"/>
      <c r="M70" s="74" t="s">
        <v>106246</v>
      </c>
      <c r="N70" s="75"/>
      <c r="O70" s="75"/>
      <c r="P70" s="76"/>
      <c r="Q70" s="76"/>
      <c r="R70" s="77">
        <f>+R71</f>
        <v>22800000</v>
      </c>
      <c r="S70" s="78"/>
      <c r="T70" s="78"/>
      <c r="U70" s="79"/>
    </row>
    <row r="71" spans="1:21" x14ac:dyDescent="0.2">
      <c r="A71" s="310"/>
      <c r="B71" s="80" t="s">
        <v>105516</v>
      </c>
      <c r="C71" s="80" t="s">
        <v>105573</v>
      </c>
      <c r="D71" s="80" t="s">
        <v>105573</v>
      </c>
      <c r="E71" s="80" t="s">
        <v>105520</v>
      </c>
      <c r="F71" s="80" t="s">
        <v>105541</v>
      </c>
      <c r="G71" s="80" t="s">
        <v>105541</v>
      </c>
      <c r="H71" s="80" t="s">
        <v>106109</v>
      </c>
      <c r="I71" s="80"/>
      <c r="J71" s="80"/>
      <c r="K71" s="80"/>
      <c r="L71" s="80"/>
      <c r="M71" s="82" t="s">
        <v>106262</v>
      </c>
      <c r="N71" s="83"/>
      <c r="O71" s="83"/>
      <c r="P71" s="84"/>
      <c r="Q71" s="84"/>
      <c r="R71" s="85">
        <f>+R72</f>
        <v>22800000</v>
      </c>
      <c r="S71" s="86"/>
      <c r="T71" s="86"/>
      <c r="U71" s="101"/>
    </row>
    <row r="72" spans="1:21" ht="45" x14ac:dyDescent="0.2">
      <c r="A72" s="310"/>
      <c r="B72" s="88"/>
      <c r="C72" s="89"/>
      <c r="D72" s="89"/>
      <c r="E72" s="89"/>
      <c r="F72" s="89"/>
      <c r="G72" s="89"/>
      <c r="H72" s="89"/>
      <c r="I72" s="89"/>
      <c r="J72" s="90"/>
      <c r="K72" s="90" t="s">
        <v>106717</v>
      </c>
      <c r="L72" s="91" t="s">
        <v>113244</v>
      </c>
      <c r="M72" s="92" t="s">
        <v>113050</v>
      </c>
      <c r="N72" s="93">
        <v>45425</v>
      </c>
      <c r="O72" s="93" t="s">
        <v>113087</v>
      </c>
      <c r="P72" s="94" t="s">
        <v>113002</v>
      </c>
      <c r="Q72" s="94" t="s">
        <v>113038</v>
      </c>
      <c r="R72" s="95">
        <v>22800000</v>
      </c>
      <c r="S72" s="96"/>
      <c r="T72" s="97"/>
      <c r="U72" s="98" t="s">
        <v>113019</v>
      </c>
    </row>
    <row r="73" spans="1:21" x14ac:dyDescent="0.2">
      <c r="A73" s="310"/>
      <c r="B73" s="72" t="s">
        <v>105516</v>
      </c>
      <c r="C73" s="72" t="s">
        <v>105573</v>
      </c>
      <c r="D73" s="72" t="s">
        <v>105573</v>
      </c>
      <c r="E73" s="72" t="s">
        <v>105520</v>
      </c>
      <c r="F73" s="72" t="s">
        <v>105541</v>
      </c>
      <c r="G73" s="72" t="s">
        <v>105544</v>
      </c>
      <c r="H73" s="72"/>
      <c r="I73" s="72"/>
      <c r="J73" s="72"/>
      <c r="K73" s="73"/>
      <c r="L73" s="73"/>
      <c r="M73" s="74" t="s">
        <v>106264</v>
      </c>
      <c r="N73" s="75"/>
      <c r="O73" s="75"/>
      <c r="P73" s="76"/>
      <c r="Q73" s="76"/>
      <c r="R73" s="77">
        <f>+R74</f>
        <v>6800000</v>
      </c>
      <c r="S73" s="78"/>
      <c r="T73" s="78"/>
      <c r="U73" s="79"/>
    </row>
    <row r="74" spans="1:21" ht="30" x14ac:dyDescent="0.2">
      <c r="A74" s="310"/>
      <c r="B74" s="80" t="s">
        <v>105516</v>
      </c>
      <c r="C74" s="80" t="s">
        <v>105573</v>
      </c>
      <c r="D74" s="80" t="s">
        <v>105573</v>
      </c>
      <c r="E74" s="80" t="s">
        <v>105520</v>
      </c>
      <c r="F74" s="80" t="s">
        <v>105541</v>
      </c>
      <c r="G74" s="80" t="s">
        <v>105544</v>
      </c>
      <c r="H74" s="80" t="s">
        <v>105520</v>
      </c>
      <c r="I74" s="80"/>
      <c r="J74" s="80"/>
      <c r="K74" s="80"/>
      <c r="L74" s="80"/>
      <c r="M74" s="82" t="s">
        <v>106266</v>
      </c>
      <c r="N74" s="83"/>
      <c r="O74" s="83"/>
      <c r="P74" s="84"/>
      <c r="Q74" s="84"/>
      <c r="R74" s="85">
        <f>SUM(R75:R75)</f>
        <v>6800000</v>
      </c>
      <c r="S74" s="86"/>
      <c r="T74" s="86"/>
      <c r="U74" s="101"/>
    </row>
    <row r="75" spans="1:21" ht="30" x14ac:dyDescent="0.2">
      <c r="A75" s="310"/>
      <c r="B75" s="88"/>
      <c r="C75" s="89"/>
      <c r="D75" s="89"/>
      <c r="E75" s="89"/>
      <c r="F75" s="89"/>
      <c r="G75" s="89"/>
      <c r="H75" s="89"/>
      <c r="I75" s="89"/>
      <c r="J75" s="90"/>
      <c r="K75" s="90" t="s">
        <v>106726</v>
      </c>
      <c r="L75" s="91">
        <v>43233200</v>
      </c>
      <c r="M75" s="92" t="s">
        <v>113051</v>
      </c>
      <c r="N75" s="93">
        <v>45300</v>
      </c>
      <c r="O75" s="93" t="s">
        <v>113037</v>
      </c>
      <c r="P75" s="94" t="s">
        <v>113040</v>
      </c>
      <c r="Q75" s="94" t="s">
        <v>113038</v>
      </c>
      <c r="R75" s="95">
        <f>4800000+2000000</f>
        <v>6800000</v>
      </c>
      <c r="S75" s="96"/>
      <c r="T75" s="97"/>
      <c r="U75" s="98" t="s">
        <v>113003</v>
      </c>
    </row>
    <row r="76" spans="1:21" x14ac:dyDescent="0.2">
      <c r="A76" s="310"/>
      <c r="B76" s="72" t="s">
        <v>105516</v>
      </c>
      <c r="C76" s="72" t="s">
        <v>105573</v>
      </c>
      <c r="D76" s="72" t="s">
        <v>105573</v>
      </c>
      <c r="E76" s="72" t="s">
        <v>105520</v>
      </c>
      <c r="F76" s="72" t="s">
        <v>105541</v>
      </c>
      <c r="G76" s="72" t="s">
        <v>105550</v>
      </c>
      <c r="H76" s="72"/>
      <c r="I76" s="72"/>
      <c r="J76" s="72"/>
      <c r="K76" s="73"/>
      <c r="L76" s="73"/>
      <c r="M76" s="74" t="s">
        <v>106284</v>
      </c>
      <c r="N76" s="75"/>
      <c r="O76" s="75"/>
      <c r="P76" s="76"/>
      <c r="Q76" s="76"/>
      <c r="R76" s="77">
        <f>+R77</f>
        <v>128000000</v>
      </c>
      <c r="S76" s="78"/>
      <c r="T76" s="78"/>
      <c r="U76" s="79"/>
    </row>
    <row r="77" spans="1:21" x14ac:dyDescent="0.2">
      <c r="A77" s="310"/>
      <c r="B77" s="80" t="s">
        <v>105516</v>
      </c>
      <c r="C77" s="80" t="s">
        <v>105573</v>
      </c>
      <c r="D77" s="80" t="s">
        <v>105573</v>
      </c>
      <c r="E77" s="80" t="s">
        <v>105520</v>
      </c>
      <c r="F77" s="80" t="s">
        <v>105541</v>
      </c>
      <c r="G77" s="80" t="s">
        <v>105550</v>
      </c>
      <c r="H77" s="80" t="s">
        <v>106106</v>
      </c>
      <c r="I77" s="80"/>
      <c r="J77" s="80"/>
      <c r="K77" s="80"/>
      <c r="L77" s="80"/>
      <c r="M77" s="82" t="s">
        <v>106408</v>
      </c>
      <c r="N77" s="83"/>
      <c r="O77" s="83"/>
      <c r="P77" s="84"/>
      <c r="Q77" s="84"/>
      <c r="R77" s="85">
        <f>SUM(R78:R82)</f>
        <v>128000000</v>
      </c>
      <c r="S77" s="86"/>
      <c r="T77" s="86"/>
      <c r="U77" s="101"/>
    </row>
    <row r="78" spans="1:21" ht="30" hidden="1" x14ac:dyDescent="0.2">
      <c r="A78" s="316"/>
      <c r="B78" s="88"/>
      <c r="C78" s="89"/>
      <c r="D78" s="89"/>
      <c r="E78" s="89"/>
      <c r="F78" s="89"/>
      <c r="G78" s="89"/>
      <c r="H78" s="89"/>
      <c r="I78" s="89"/>
      <c r="J78" s="90"/>
      <c r="K78" s="90" t="s">
        <v>106736</v>
      </c>
      <c r="L78" s="91">
        <v>43233200</v>
      </c>
      <c r="M78" s="102" t="s">
        <v>113245</v>
      </c>
      <c r="N78" s="93">
        <v>45306</v>
      </c>
      <c r="O78" s="93" t="s">
        <v>113037</v>
      </c>
      <c r="P78" s="94" t="s">
        <v>113022</v>
      </c>
      <c r="Q78" s="94" t="s">
        <v>113053</v>
      </c>
      <c r="R78" s="95">
        <v>0</v>
      </c>
      <c r="S78" s="96"/>
      <c r="T78" s="97"/>
      <c r="U78" s="98" t="s">
        <v>113054</v>
      </c>
    </row>
    <row r="79" spans="1:21" ht="30" hidden="1" x14ac:dyDescent="0.2">
      <c r="A79" s="316"/>
      <c r="B79" s="88"/>
      <c r="C79" s="89"/>
      <c r="D79" s="89"/>
      <c r="E79" s="89"/>
      <c r="F79" s="89"/>
      <c r="G79" s="89"/>
      <c r="H79" s="89"/>
      <c r="I79" s="89"/>
      <c r="J79" s="90"/>
      <c r="K79" s="90" t="s">
        <v>106736</v>
      </c>
      <c r="L79" s="91" t="s">
        <v>113246</v>
      </c>
      <c r="M79" s="92" t="s">
        <v>113247</v>
      </c>
      <c r="N79" s="93">
        <v>45516</v>
      </c>
      <c r="O79" s="93" t="s">
        <v>113078</v>
      </c>
      <c r="P79" s="94" t="s">
        <v>113045</v>
      </c>
      <c r="Q79" s="94" t="s">
        <v>112999</v>
      </c>
      <c r="R79" s="314">
        <v>0</v>
      </c>
      <c r="S79" s="96"/>
      <c r="T79" s="97"/>
      <c r="U79" s="98" t="s">
        <v>113003</v>
      </c>
    </row>
    <row r="80" spans="1:21" ht="30" hidden="1" x14ac:dyDescent="0.2">
      <c r="A80" s="310"/>
      <c r="B80" s="88"/>
      <c r="C80" s="89"/>
      <c r="D80" s="89"/>
      <c r="E80" s="89"/>
      <c r="F80" s="89"/>
      <c r="G80" s="89"/>
      <c r="H80" s="89"/>
      <c r="I80" s="89"/>
      <c r="J80" s="90"/>
      <c r="K80" s="90" t="s">
        <v>106736</v>
      </c>
      <c r="L80" s="55">
        <v>43231500</v>
      </c>
      <c r="M80" s="92" t="s">
        <v>113248</v>
      </c>
      <c r="N80" s="93">
        <v>45481</v>
      </c>
      <c r="O80" s="93" t="s">
        <v>113010</v>
      </c>
      <c r="P80" s="94" t="s">
        <v>112998</v>
      </c>
      <c r="Q80" s="94" t="s">
        <v>112999</v>
      </c>
      <c r="R80" s="314">
        <v>0</v>
      </c>
      <c r="S80" s="103"/>
      <c r="T80" s="125"/>
      <c r="U80" s="98" t="s">
        <v>113003</v>
      </c>
    </row>
    <row r="81" spans="1:21" ht="30" x14ac:dyDescent="0.2">
      <c r="A81" s="310"/>
      <c r="B81" s="88"/>
      <c r="C81" s="89"/>
      <c r="D81" s="89"/>
      <c r="E81" s="89"/>
      <c r="F81" s="89"/>
      <c r="G81" s="89"/>
      <c r="H81" s="89"/>
      <c r="I81" s="89"/>
      <c r="J81" s="90"/>
      <c r="K81" s="90" t="s">
        <v>106736</v>
      </c>
      <c r="L81" s="55">
        <v>43231500</v>
      </c>
      <c r="M81" s="92" t="s">
        <v>113249</v>
      </c>
      <c r="N81" s="93">
        <v>45390</v>
      </c>
      <c r="O81" s="93" t="s">
        <v>113087</v>
      </c>
      <c r="P81" s="94" t="s">
        <v>112998</v>
      </c>
      <c r="Q81" s="94" t="s">
        <v>113038</v>
      </c>
      <c r="R81" s="95">
        <f>130000000-2000000</f>
        <v>128000000</v>
      </c>
      <c r="S81" s="126"/>
      <c r="T81" s="97"/>
      <c r="U81" s="98" t="s">
        <v>113003</v>
      </c>
    </row>
    <row r="82" spans="1:21" ht="30" hidden="1" x14ac:dyDescent="0.2">
      <c r="A82" s="310"/>
      <c r="B82" s="88"/>
      <c r="C82" s="89"/>
      <c r="D82" s="89"/>
      <c r="E82" s="89"/>
      <c r="F82" s="89"/>
      <c r="G82" s="89"/>
      <c r="H82" s="89"/>
      <c r="I82" s="89"/>
      <c r="J82" s="90"/>
      <c r="K82" s="90" t="s">
        <v>106736</v>
      </c>
      <c r="L82" s="55">
        <v>43231500</v>
      </c>
      <c r="M82" s="92" t="s">
        <v>113055</v>
      </c>
      <c r="N82" s="93">
        <v>45337</v>
      </c>
      <c r="O82" s="93" t="s">
        <v>113001</v>
      </c>
      <c r="P82" s="94" t="s">
        <v>112998</v>
      </c>
      <c r="Q82" s="94" t="s">
        <v>113038</v>
      </c>
      <c r="R82" s="314">
        <v>0</v>
      </c>
      <c r="S82" s="96"/>
      <c r="T82" s="97"/>
      <c r="U82" s="98" t="s">
        <v>113003</v>
      </c>
    </row>
    <row r="83" spans="1:21" ht="30" x14ac:dyDescent="0.2">
      <c r="A83" s="310"/>
      <c r="B83" s="72" t="s">
        <v>105516</v>
      </c>
      <c r="C83" s="72" t="s">
        <v>105573</v>
      </c>
      <c r="D83" s="72" t="s">
        <v>105573</v>
      </c>
      <c r="E83" s="72" t="s">
        <v>105520</v>
      </c>
      <c r="F83" s="72" t="s">
        <v>105541</v>
      </c>
      <c r="G83" s="72" t="s">
        <v>105553</v>
      </c>
      <c r="H83" s="72"/>
      <c r="I83" s="72"/>
      <c r="J83" s="72"/>
      <c r="K83" s="73"/>
      <c r="L83" s="73"/>
      <c r="M83" s="74" t="s">
        <v>106300</v>
      </c>
      <c r="N83" s="75"/>
      <c r="O83" s="75"/>
      <c r="P83" s="76"/>
      <c r="Q83" s="76"/>
      <c r="R83" s="77">
        <f>+R84+R86</f>
        <v>6000000</v>
      </c>
      <c r="S83" s="78"/>
      <c r="T83" s="78"/>
      <c r="U83" s="79"/>
    </row>
    <row r="84" spans="1:21" ht="60" hidden="1" x14ac:dyDescent="0.2">
      <c r="A84" s="310"/>
      <c r="B84" s="80" t="s">
        <v>105516</v>
      </c>
      <c r="C84" s="80" t="s">
        <v>105573</v>
      </c>
      <c r="D84" s="80" t="s">
        <v>105573</v>
      </c>
      <c r="E84" s="80" t="s">
        <v>105520</v>
      </c>
      <c r="F84" s="80" t="s">
        <v>105541</v>
      </c>
      <c r="G84" s="80" t="s">
        <v>105553</v>
      </c>
      <c r="H84" s="80" t="s">
        <v>105573</v>
      </c>
      <c r="I84" s="80"/>
      <c r="J84" s="80"/>
      <c r="K84" s="80"/>
      <c r="L84" s="80"/>
      <c r="M84" s="82" t="s">
        <v>106304</v>
      </c>
      <c r="N84" s="83"/>
      <c r="O84" s="83"/>
      <c r="P84" s="84"/>
      <c r="Q84" s="84"/>
      <c r="R84" s="85">
        <f>+R85</f>
        <v>0</v>
      </c>
      <c r="S84" s="86"/>
      <c r="T84" s="86"/>
      <c r="U84" s="101"/>
    </row>
    <row r="85" spans="1:21" ht="46.5" hidden="1" customHeight="1" x14ac:dyDescent="0.2">
      <c r="A85" s="310"/>
      <c r="B85" s="88"/>
      <c r="C85" s="89"/>
      <c r="D85" s="89"/>
      <c r="E85" s="89"/>
      <c r="F85" s="89"/>
      <c r="G85" s="89"/>
      <c r="H85" s="89"/>
      <c r="I85" s="89"/>
      <c r="J85" s="90"/>
      <c r="K85" s="90" t="s">
        <v>106745</v>
      </c>
      <c r="L85" s="91" t="s">
        <v>113241</v>
      </c>
      <c r="M85" s="92" t="s">
        <v>113058</v>
      </c>
      <c r="N85" s="93">
        <v>45345</v>
      </c>
      <c r="O85" s="93" t="s">
        <v>113037</v>
      </c>
      <c r="P85" s="94" t="s">
        <v>113028</v>
      </c>
      <c r="Q85" s="94" t="s">
        <v>112999</v>
      </c>
      <c r="R85" s="313">
        <v>0</v>
      </c>
      <c r="S85" s="96"/>
      <c r="T85" s="97"/>
      <c r="U85" s="98" t="s">
        <v>113019</v>
      </c>
    </row>
    <row r="86" spans="1:21" ht="30" x14ac:dyDescent="0.2">
      <c r="A86" s="310"/>
      <c r="B86" s="80" t="s">
        <v>105516</v>
      </c>
      <c r="C86" s="80" t="s">
        <v>105573</v>
      </c>
      <c r="D86" s="80" t="s">
        <v>105573</v>
      </c>
      <c r="E86" s="80" t="s">
        <v>105520</v>
      </c>
      <c r="F86" s="80" t="s">
        <v>105541</v>
      </c>
      <c r="G86" s="80" t="s">
        <v>105553</v>
      </c>
      <c r="H86" s="80" t="s">
        <v>105675</v>
      </c>
      <c r="I86" s="80"/>
      <c r="J86" s="80"/>
      <c r="K86" s="80"/>
      <c r="L86" s="80"/>
      <c r="M86" s="82" t="s">
        <v>106306</v>
      </c>
      <c r="N86" s="83"/>
      <c r="O86" s="83"/>
      <c r="P86" s="84"/>
      <c r="Q86" s="84"/>
      <c r="R86" s="85">
        <f>+R87</f>
        <v>6000000</v>
      </c>
      <c r="S86" s="86"/>
      <c r="T86" s="86"/>
      <c r="U86" s="101"/>
    </row>
    <row r="87" spans="1:21" x14ac:dyDescent="0.2">
      <c r="A87" s="310"/>
      <c r="B87" s="88"/>
      <c r="C87" s="89"/>
      <c r="D87" s="89"/>
      <c r="E87" s="89"/>
      <c r="F87" s="89"/>
      <c r="G87" s="89"/>
      <c r="H87" s="89"/>
      <c r="I87" s="89"/>
      <c r="J87" s="90"/>
      <c r="K87" s="90" t="s">
        <v>106745</v>
      </c>
      <c r="L87" s="119">
        <v>81141500</v>
      </c>
      <c r="M87" s="120" t="s">
        <v>113056</v>
      </c>
      <c r="N87" s="121">
        <v>45314</v>
      </c>
      <c r="O87" s="93" t="s">
        <v>113001</v>
      </c>
      <c r="P87" s="94" t="s">
        <v>112998</v>
      </c>
      <c r="Q87" s="94" t="s">
        <v>113052</v>
      </c>
      <c r="R87" s="95">
        <v>6000000</v>
      </c>
      <c r="S87" s="96"/>
      <c r="T87" s="97"/>
      <c r="U87" s="98" t="s">
        <v>113057</v>
      </c>
    </row>
    <row r="88" spans="1:21" x14ac:dyDescent="0.2">
      <c r="A88" s="310"/>
      <c r="B88" s="54" t="s">
        <v>105516</v>
      </c>
      <c r="C88" s="54" t="s">
        <v>105573</v>
      </c>
      <c r="D88" s="54" t="s">
        <v>105573</v>
      </c>
      <c r="E88" s="54" t="s">
        <v>105573</v>
      </c>
      <c r="F88" s="54"/>
      <c r="G88" s="54"/>
      <c r="H88" s="54"/>
      <c r="I88" s="54"/>
      <c r="J88" s="54"/>
      <c r="K88" s="55"/>
      <c r="L88" s="55"/>
      <c r="M88" s="56" t="s">
        <v>106777</v>
      </c>
      <c r="N88" s="57"/>
      <c r="O88" s="57"/>
      <c r="P88" s="58"/>
      <c r="Q88" s="58"/>
      <c r="R88" s="59">
        <f>+R89+R100+R106+R176+R191</f>
        <v>5355100000</v>
      </c>
      <c r="S88" s="60"/>
      <c r="T88" s="60"/>
      <c r="U88" s="105"/>
    </row>
    <row r="89" spans="1:21" ht="45" x14ac:dyDescent="0.2">
      <c r="A89" s="310"/>
      <c r="B89" s="63" t="s">
        <v>105516</v>
      </c>
      <c r="C89" s="63" t="s">
        <v>105573</v>
      </c>
      <c r="D89" s="63" t="s">
        <v>105573</v>
      </c>
      <c r="E89" s="63" t="s">
        <v>105573</v>
      </c>
      <c r="F89" s="63" t="s">
        <v>105547</v>
      </c>
      <c r="G89" s="63"/>
      <c r="H89" s="63"/>
      <c r="I89" s="63"/>
      <c r="J89" s="63"/>
      <c r="K89" s="64"/>
      <c r="L89" s="65"/>
      <c r="M89" s="66" t="s">
        <v>106817</v>
      </c>
      <c r="N89" s="67"/>
      <c r="O89" s="67"/>
      <c r="P89" s="68"/>
      <c r="Q89" s="68"/>
      <c r="R89" s="69">
        <f>+R90+R94+R97</f>
        <v>374700000</v>
      </c>
      <c r="S89" s="70"/>
      <c r="T89" s="70"/>
      <c r="U89" s="71"/>
    </row>
    <row r="90" spans="1:21" x14ac:dyDescent="0.2">
      <c r="A90" s="310"/>
      <c r="B90" s="72" t="s">
        <v>105516</v>
      </c>
      <c r="C90" s="72" t="s">
        <v>105573</v>
      </c>
      <c r="D90" s="72" t="s">
        <v>105573</v>
      </c>
      <c r="E90" s="72" t="s">
        <v>105573</v>
      </c>
      <c r="F90" s="72" t="s">
        <v>105547</v>
      </c>
      <c r="G90" s="72" t="s">
        <v>105541</v>
      </c>
      <c r="H90" s="72"/>
      <c r="I90" s="72"/>
      <c r="J90" s="72"/>
      <c r="K90" s="73"/>
      <c r="L90" s="73"/>
      <c r="M90" s="74" t="s">
        <v>106829</v>
      </c>
      <c r="N90" s="75"/>
      <c r="O90" s="75"/>
      <c r="P90" s="76"/>
      <c r="Q90" s="76"/>
      <c r="R90" s="77">
        <f>SUM(R91:R93)</f>
        <v>62000000</v>
      </c>
      <c r="S90" s="78"/>
      <c r="T90" s="78"/>
      <c r="U90" s="79"/>
    </row>
    <row r="91" spans="1:21" x14ac:dyDescent="0.2">
      <c r="A91" s="310"/>
      <c r="B91" s="88"/>
      <c r="C91" s="89"/>
      <c r="D91" s="89"/>
      <c r="E91" s="89"/>
      <c r="F91" s="89"/>
      <c r="G91" s="89"/>
      <c r="H91" s="89"/>
      <c r="I91" s="89"/>
      <c r="J91" s="90"/>
      <c r="K91" s="90"/>
      <c r="L91" s="91"/>
      <c r="M91" s="92" t="s">
        <v>113062</v>
      </c>
      <c r="N91" s="93" t="s">
        <v>113031</v>
      </c>
      <c r="O91" s="93" t="s">
        <v>113031</v>
      </c>
      <c r="P91" s="93" t="s">
        <v>113031</v>
      </c>
      <c r="Q91" s="93" t="s">
        <v>113031</v>
      </c>
      <c r="R91" s="95">
        <v>7000000</v>
      </c>
      <c r="S91" s="96"/>
      <c r="T91" s="97"/>
      <c r="U91" s="98" t="s">
        <v>113032</v>
      </c>
    </row>
    <row r="92" spans="1:21" ht="30" x14ac:dyDescent="0.2">
      <c r="A92" s="310"/>
      <c r="B92" s="88"/>
      <c r="C92" s="89"/>
      <c r="D92" s="89"/>
      <c r="E92" s="89"/>
      <c r="F92" s="89"/>
      <c r="G92" s="89"/>
      <c r="H92" s="89"/>
      <c r="I92" s="89"/>
      <c r="J92" s="90"/>
      <c r="K92" s="90" t="s">
        <v>106828</v>
      </c>
      <c r="L92" s="91" t="s">
        <v>113250</v>
      </c>
      <c r="M92" s="92" t="s">
        <v>113059</v>
      </c>
      <c r="N92" s="93">
        <v>45294</v>
      </c>
      <c r="O92" s="93" t="s">
        <v>113060</v>
      </c>
      <c r="P92" s="94" t="s">
        <v>113011</v>
      </c>
      <c r="Q92" s="94" t="s">
        <v>113008</v>
      </c>
      <c r="R92" s="95">
        <v>40000000</v>
      </c>
      <c r="S92" s="96"/>
      <c r="T92" s="97"/>
      <c r="U92" s="98" t="s">
        <v>113035</v>
      </c>
    </row>
    <row r="93" spans="1:21" x14ac:dyDescent="0.2">
      <c r="A93" s="310"/>
      <c r="B93" s="88"/>
      <c r="C93" s="89"/>
      <c r="D93" s="89"/>
      <c r="E93" s="89"/>
      <c r="F93" s="89"/>
      <c r="G93" s="89"/>
      <c r="H93" s="89"/>
      <c r="I93" s="89"/>
      <c r="J93" s="90"/>
      <c r="K93" s="90" t="s">
        <v>106828</v>
      </c>
      <c r="L93" s="127">
        <v>78111800</v>
      </c>
      <c r="M93" s="92" t="s">
        <v>113061</v>
      </c>
      <c r="N93" s="93">
        <v>45312</v>
      </c>
      <c r="O93" s="93" t="s">
        <v>113037</v>
      </c>
      <c r="P93" s="93" t="s">
        <v>113011</v>
      </c>
      <c r="Q93" s="93" t="s">
        <v>113052</v>
      </c>
      <c r="R93" s="95">
        <v>15000000</v>
      </c>
      <c r="S93" s="96"/>
      <c r="T93" s="97"/>
      <c r="U93" s="98" t="s">
        <v>113035</v>
      </c>
    </row>
    <row r="94" spans="1:21" x14ac:dyDescent="0.2">
      <c r="A94" s="310"/>
      <c r="B94" s="72" t="s">
        <v>105516</v>
      </c>
      <c r="C94" s="72" t="s">
        <v>105573</v>
      </c>
      <c r="D94" s="72" t="s">
        <v>105573</v>
      </c>
      <c r="E94" s="72" t="s">
        <v>105573</v>
      </c>
      <c r="F94" s="72" t="s">
        <v>105547</v>
      </c>
      <c r="G94" s="72" t="s">
        <v>105553</v>
      </c>
      <c r="H94" s="72"/>
      <c r="I94" s="72"/>
      <c r="J94" s="72"/>
      <c r="K94" s="73"/>
      <c r="L94" s="73"/>
      <c r="M94" s="74" t="s">
        <v>106857</v>
      </c>
      <c r="N94" s="75"/>
      <c r="O94" s="75"/>
      <c r="P94" s="76"/>
      <c r="Q94" s="76"/>
      <c r="R94" s="77">
        <f>SUM(R95:R96)</f>
        <v>12700000</v>
      </c>
      <c r="S94" s="78"/>
      <c r="T94" s="78"/>
      <c r="U94" s="79"/>
    </row>
    <row r="95" spans="1:21" x14ac:dyDescent="0.2">
      <c r="A95" s="310"/>
      <c r="B95" s="88"/>
      <c r="C95" s="89"/>
      <c r="D95" s="89"/>
      <c r="E95" s="89"/>
      <c r="F95" s="89"/>
      <c r="G95" s="89"/>
      <c r="H95" s="89"/>
      <c r="I95" s="89"/>
      <c r="J95" s="90"/>
      <c r="K95" s="90"/>
      <c r="L95" s="128"/>
      <c r="M95" s="92" t="s">
        <v>113065</v>
      </c>
      <c r="N95" s="93" t="s">
        <v>113031</v>
      </c>
      <c r="O95" s="93" t="s">
        <v>113031</v>
      </c>
      <c r="P95" s="94" t="s">
        <v>113031</v>
      </c>
      <c r="Q95" s="93" t="s">
        <v>113031</v>
      </c>
      <c r="R95" s="95">
        <v>1500000</v>
      </c>
      <c r="S95" s="96"/>
      <c r="T95" s="97"/>
      <c r="U95" s="98" t="s">
        <v>113032</v>
      </c>
    </row>
    <row r="96" spans="1:21" ht="30" x14ac:dyDescent="0.2">
      <c r="A96" s="310"/>
      <c r="B96" s="88"/>
      <c r="C96" s="89"/>
      <c r="D96" s="89"/>
      <c r="E96" s="89"/>
      <c r="F96" s="89"/>
      <c r="G96" s="89"/>
      <c r="H96" s="89"/>
      <c r="I96" s="89"/>
      <c r="J96" s="90"/>
      <c r="K96" s="90" t="s">
        <v>106856</v>
      </c>
      <c r="L96" s="127"/>
      <c r="M96" s="92" t="s">
        <v>113063</v>
      </c>
      <c r="N96" s="93">
        <v>45332</v>
      </c>
      <c r="O96" s="93" t="s">
        <v>113037</v>
      </c>
      <c r="P96" s="94" t="s">
        <v>113011</v>
      </c>
      <c r="Q96" s="93" t="s">
        <v>113251</v>
      </c>
      <c r="R96" s="95">
        <v>11200000</v>
      </c>
      <c r="S96" s="96"/>
      <c r="T96" s="97"/>
      <c r="U96" s="98" t="s">
        <v>113064</v>
      </c>
    </row>
    <row r="97" spans="1:21" ht="30" x14ac:dyDescent="0.2">
      <c r="A97" s="310"/>
      <c r="B97" s="72" t="s">
        <v>105516</v>
      </c>
      <c r="C97" s="72" t="s">
        <v>105573</v>
      </c>
      <c r="D97" s="72" t="s">
        <v>105573</v>
      </c>
      <c r="E97" s="72" t="s">
        <v>105573</v>
      </c>
      <c r="F97" s="72" t="s">
        <v>105547</v>
      </c>
      <c r="G97" s="72" t="s">
        <v>105556</v>
      </c>
      <c r="H97" s="72"/>
      <c r="I97" s="72"/>
      <c r="J97" s="72"/>
      <c r="K97" s="73"/>
      <c r="L97" s="73"/>
      <c r="M97" s="74" t="s">
        <v>106859</v>
      </c>
      <c r="N97" s="75"/>
      <c r="O97" s="75"/>
      <c r="P97" s="76"/>
      <c r="Q97" s="76"/>
      <c r="R97" s="77">
        <f>SUM(R98)</f>
        <v>300000000</v>
      </c>
      <c r="S97" s="78"/>
      <c r="T97" s="78"/>
      <c r="U97" s="79"/>
    </row>
    <row r="98" spans="1:21" ht="30" x14ac:dyDescent="0.2">
      <c r="A98" s="310"/>
      <c r="B98" s="80" t="s">
        <v>105516</v>
      </c>
      <c r="C98" s="80" t="s">
        <v>105573</v>
      </c>
      <c r="D98" s="80" t="s">
        <v>105573</v>
      </c>
      <c r="E98" s="80" t="s">
        <v>105573</v>
      </c>
      <c r="F98" s="80" t="s">
        <v>105547</v>
      </c>
      <c r="G98" s="80" t="s">
        <v>105556</v>
      </c>
      <c r="H98" s="80" t="s">
        <v>105520</v>
      </c>
      <c r="I98" s="80"/>
      <c r="J98" s="80"/>
      <c r="K98" s="80"/>
      <c r="L98" s="80"/>
      <c r="M98" s="82" t="s">
        <v>106861</v>
      </c>
      <c r="N98" s="83"/>
      <c r="O98" s="83"/>
      <c r="P98" s="84"/>
      <c r="Q98" s="84"/>
      <c r="R98" s="85">
        <f>SUM(R99)</f>
        <v>300000000</v>
      </c>
      <c r="S98" s="86"/>
      <c r="T98" s="86"/>
      <c r="U98" s="101"/>
    </row>
    <row r="99" spans="1:21" x14ac:dyDescent="0.2">
      <c r="A99" s="310"/>
      <c r="B99" s="88"/>
      <c r="C99" s="89"/>
      <c r="D99" s="89"/>
      <c r="E99" s="89"/>
      <c r="F99" s="89"/>
      <c r="G99" s="89"/>
      <c r="H99" s="89"/>
      <c r="I99" s="89"/>
      <c r="J99" s="90"/>
      <c r="K99" s="90" t="s">
        <v>106858</v>
      </c>
      <c r="L99" s="128"/>
      <c r="M99" s="92" t="s">
        <v>113066</v>
      </c>
      <c r="N99" s="93">
        <v>45293</v>
      </c>
      <c r="O99" s="93" t="s">
        <v>113060</v>
      </c>
      <c r="P99" s="94" t="s">
        <v>113011</v>
      </c>
      <c r="Q99" s="93" t="s">
        <v>113031</v>
      </c>
      <c r="R99" s="95">
        <v>300000000</v>
      </c>
      <c r="S99" s="96"/>
      <c r="T99" s="129"/>
      <c r="U99" s="98" t="s">
        <v>113064</v>
      </c>
    </row>
    <row r="100" spans="1:21" ht="30" x14ac:dyDescent="0.2">
      <c r="A100" s="310"/>
      <c r="B100" s="63" t="s">
        <v>105516</v>
      </c>
      <c r="C100" s="63" t="s">
        <v>105573</v>
      </c>
      <c r="D100" s="63" t="s">
        <v>105573</v>
      </c>
      <c r="E100" s="63" t="s">
        <v>105573</v>
      </c>
      <c r="F100" s="63" t="s">
        <v>105550</v>
      </c>
      <c r="G100" s="63"/>
      <c r="H100" s="63"/>
      <c r="I100" s="63"/>
      <c r="J100" s="63"/>
      <c r="K100" s="64"/>
      <c r="L100" s="65"/>
      <c r="M100" s="66" t="s">
        <v>106865</v>
      </c>
      <c r="N100" s="67"/>
      <c r="O100" s="67"/>
      <c r="P100" s="68"/>
      <c r="Q100" s="68"/>
      <c r="R100" s="69">
        <f>+R101</f>
        <v>3273000000</v>
      </c>
      <c r="S100" s="70"/>
      <c r="T100" s="70"/>
      <c r="U100" s="71"/>
    </row>
    <row r="101" spans="1:21" x14ac:dyDescent="0.2">
      <c r="A101" s="310"/>
      <c r="B101" s="72" t="s">
        <v>105516</v>
      </c>
      <c r="C101" s="72" t="s">
        <v>105573</v>
      </c>
      <c r="D101" s="72" t="s">
        <v>105573</v>
      </c>
      <c r="E101" s="72" t="s">
        <v>105573</v>
      </c>
      <c r="F101" s="72" t="s">
        <v>105550</v>
      </c>
      <c r="G101" s="72" t="s">
        <v>105528</v>
      </c>
      <c r="H101" s="72"/>
      <c r="I101" s="72"/>
      <c r="J101" s="72"/>
      <c r="K101" s="73"/>
      <c r="L101" s="73"/>
      <c r="M101" s="74" t="s">
        <v>106867</v>
      </c>
      <c r="N101" s="75"/>
      <c r="O101" s="75"/>
      <c r="P101" s="76"/>
      <c r="Q101" s="76"/>
      <c r="R101" s="77">
        <f>+R102</f>
        <v>3273000000</v>
      </c>
      <c r="S101" s="78"/>
      <c r="T101" s="78"/>
      <c r="U101" s="79"/>
    </row>
    <row r="102" spans="1:21" ht="30" x14ac:dyDescent="0.2">
      <c r="A102" s="310"/>
      <c r="B102" s="80" t="s">
        <v>105516</v>
      </c>
      <c r="C102" s="80" t="s">
        <v>105573</v>
      </c>
      <c r="D102" s="80" t="s">
        <v>105573</v>
      </c>
      <c r="E102" s="80" t="s">
        <v>105573</v>
      </c>
      <c r="F102" s="80" t="s">
        <v>105550</v>
      </c>
      <c r="G102" s="80" t="s">
        <v>105528</v>
      </c>
      <c r="H102" s="80" t="s">
        <v>105675</v>
      </c>
      <c r="I102" s="80"/>
      <c r="J102" s="80"/>
      <c r="K102" s="80"/>
      <c r="L102" s="80"/>
      <c r="M102" s="82" t="s">
        <v>106882</v>
      </c>
      <c r="N102" s="83"/>
      <c r="O102" s="83"/>
      <c r="P102" s="84"/>
      <c r="Q102" s="84"/>
      <c r="R102" s="85">
        <f>+R103</f>
        <v>3273000000</v>
      </c>
      <c r="S102" s="86"/>
      <c r="T102" s="86"/>
      <c r="U102" s="101"/>
    </row>
    <row r="103" spans="1:21" ht="30" x14ac:dyDescent="0.2">
      <c r="A103" s="310"/>
      <c r="B103" s="80" t="s">
        <v>105516</v>
      </c>
      <c r="C103" s="80" t="s">
        <v>105573</v>
      </c>
      <c r="D103" s="80" t="s">
        <v>105573</v>
      </c>
      <c r="E103" s="80" t="s">
        <v>105573</v>
      </c>
      <c r="F103" s="80" t="s">
        <v>105550</v>
      </c>
      <c r="G103" s="80" t="s">
        <v>105528</v>
      </c>
      <c r="H103" s="80" t="s">
        <v>105675</v>
      </c>
      <c r="I103" s="80" t="s">
        <v>106217</v>
      </c>
      <c r="J103" s="80"/>
      <c r="K103" s="80"/>
      <c r="L103" s="80"/>
      <c r="M103" s="82" t="s">
        <v>106892</v>
      </c>
      <c r="N103" s="83"/>
      <c r="O103" s="83"/>
      <c r="P103" s="84"/>
      <c r="Q103" s="84"/>
      <c r="R103" s="85">
        <f>+R104</f>
        <v>3273000000</v>
      </c>
      <c r="S103" s="86"/>
      <c r="T103" s="86"/>
      <c r="U103" s="101"/>
    </row>
    <row r="104" spans="1:21" ht="30" x14ac:dyDescent="0.2">
      <c r="A104" s="310"/>
      <c r="B104" s="80" t="s">
        <v>105516</v>
      </c>
      <c r="C104" s="80" t="s">
        <v>105573</v>
      </c>
      <c r="D104" s="80" t="s">
        <v>105573</v>
      </c>
      <c r="E104" s="80" t="s">
        <v>105573</v>
      </c>
      <c r="F104" s="80" t="s">
        <v>105550</v>
      </c>
      <c r="G104" s="80" t="s">
        <v>105528</v>
      </c>
      <c r="H104" s="80" t="s">
        <v>105675</v>
      </c>
      <c r="I104" s="80" t="s">
        <v>106217</v>
      </c>
      <c r="J104" s="80" t="s">
        <v>105917</v>
      </c>
      <c r="K104" s="80"/>
      <c r="L104" s="80"/>
      <c r="M104" s="82" t="s">
        <v>106900</v>
      </c>
      <c r="N104" s="83"/>
      <c r="O104" s="83"/>
      <c r="P104" s="84"/>
      <c r="Q104" s="84"/>
      <c r="R104" s="85">
        <f>SUM(R105:R105)</f>
        <v>3273000000</v>
      </c>
      <c r="S104" s="86"/>
      <c r="T104" s="86"/>
      <c r="U104" s="101"/>
    </row>
    <row r="105" spans="1:21" ht="30" x14ac:dyDescent="0.2">
      <c r="A105" s="310"/>
      <c r="B105" s="88"/>
      <c r="C105" s="89"/>
      <c r="D105" s="89"/>
      <c r="E105" s="89"/>
      <c r="F105" s="89"/>
      <c r="G105" s="89"/>
      <c r="H105" s="89"/>
      <c r="I105" s="89"/>
      <c r="J105" s="90"/>
      <c r="K105" s="90" t="s">
        <v>106866</v>
      </c>
      <c r="L105" s="130" t="s">
        <v>113067</v>
      </c>
      <c r="M105" s="131" t="s">
        <v>106900</v>
      </c>
      <c r="N105" s="121">
        <v>45293</v>
      </c>
      <c r="O105" s="93" t="s">
        <v>113060</v>
      </c>
      <c r="P105" s="132" t="s">
        <v>113068</v>
      </c>
      <c r="Q105" s="132" t="s">
        <v>113069</v>
      </c>
      <c r="R105" s="95">
        <v>3273000000</v>
      </c>
      <c r="S105" s="96"/>
      <c r="T105" s="95"/>
      <c r="U105" s="98" t="s">
        <v>113000</v>
      </c>
    </row>
    <row r="106" spans="1:21" ht="30" x14ac:dyDescent="0.2">
      <c r="A106" s="310"/>
      <c r="B106" s="63" t="s">
        <v>105516</v>
      </c>
      <c r="C106" s="63" t="s">
        <v>105573</v>
      </c>
      <c r="D106" s="63" t="s">
        <v>105573</v>
      </c>
      <c r="E106" s="63" t="s">
        <v>105573</v>
      </c>
      <c r="F106" s="63" t="s">
        <v>105553</v>
      </c>
      <c r="G106" s="63"/>
      <c r="H106" s="63"/>
      <c r="I106" s="63"/>
      <c r="J106" s="63"/>
      <c r="K106" s="64"/>
      <c r="L106" s="65"/>
      <c r="M106" s="66" t="s">
        <v>106978</v>
      </c>
      <c r="N106" s="67"/>
      <c r="O106" s="67"/>
      <c r="P106" s="68"/>
      <c r="Q106" s="68"/>
      <c r="R106" s="69">
        <f>+R107+R112+R151+R159+R163</f>
        <v>1301400000</v>
      </c>
      <c r="S106" s="70"/>
      <c r="T106" s="70"/>
      <c r="U106" s="71"/>
    </row>
    <row r="107" spans="1:21" x14ac:dyDescent="0.2">
      <c r="A107" s="310"/>
      <c r="B107" s="72" t="s">
        <v>105516</v>
      </c>
      <c r="C107" s="72" t="s">
        <v>105573</v>
      </c>
      <c r="D107" s="72" t="s">
        <v>105573</v>
      </c>
      <c r="E107" s="72" t="s">
        <v>105573</v>
      </c>
      <c r="F107" s="72" t="s">
        <v>105553</v>
      </c>
      <c r="G107" s="72" t="s">
        <v>105535</v>
      </c>
      <c r="H107" s="72"/>
      <c r="I107" s="72"/>
      <c r="J107" s="72"/>
      <c r="K107" s="73"/>
      <c r="L107" s="73"/>
      <c r="M107" s="74" t="s">
        <v>106988</v>
      </c>
      <c r="N107" s="75"/>
      <c r="O107" s="75"/>
      <c r="P107" s="76"/>
      <c r="Q107" s="76"/>
      <c r="R107" s="77">
        <f>+R108</f>
        <v>94200000</v>
      </c>
      <c r="S107" s="78"/>
      <c r="T107" s="78"/>
      <c r="U107" s="79"/>
    </row>
    <row r="108" spans="1:21" x14ac:dyDescent="0.2">
      <c r="A108" s="310"/>
      <c r="B108" s="80" t="s">
        <v>105516</v>
      </c>
      <c r="C108" s="80" t="s">
        <v>105573</v>
      </c>
      <c r="D108" s="80" t="s">
        <v>105573</v>
      </c>
      <c r="E108" s="80" t="s">
        <v>105573</v>
      </c>
      <c r="F108" s="80" t="s">
        <v>105553</v>
      </c>
      <c r="G108" s="80" t="s">
        <v>105535</v>
      </c>
      <c r="H108" s="80" t="s">
        <v>105520</v>
      </c>
      <c r="I108" s="80"/>
      <c r="J108" s="80"/>
      <c r="K108" s="80"/>
      <c r="L108" s="80"/>
      <c r="M108" s="82" t="s">
        <v>106990</v>
      </c>
      <c r="N108" s="83"/>
      <c r="O108" s="83"/>
      <c r="P108" s="84"/>
      <c r="Q108" s="84"/>
      <c r="R108" s="85">
        <f>SUM(R109:R111,)</f>
        <v>94200000</v>
      </c>
      <c r="S108" s="86"/>
      <c r="T108" s="86"/>
      <c r="U108" s="101"/>
    </row>
    <row r="109" spans="1:21" ht="90" x14ac:dyDescent="0.2">
      <c r="A109" s="310"/>
      <c r="B109" s="88"/>
      <c r="C109" s="89"/>
      <c r="D109" s="89"/>
      <c r="E109" s="89"/>
      <c r="F109" s="89"/>
      <c r="G109" s="89"/>
      <c r="H109" s="89"/>
      <c r="I109" s="89"/>
      <c r="J109" s="90"/>
      <c r="K109" s="90" t="s">
        <v>106987</v>
      </c>
      <c r="L109" s="91" t="s">
        <v>113252</v>
      </c>
      <c r="M109" s="92" t="s">
        <v>113073</v>
      </c>
      <c r="N109" s="93">
        <v>45301</v>
      </c>
      <c r="O109" s="93" t="s">
        <v>113204</v>
      </c>
      <c r="P109" s="94" t="s">
        <v>113011</v>
      </c>
      <c r="Q109" s="94" t="s">
        <v>113071</v>
      </c>
      <c r="R109" s="95">
        <f>62700000/2</f>
        <v>31350000</v>
      </c>
      <c r="S109" s="126"/>
      <c r="T109" s="97"/>
      <c r="U109" s="98" t="s">
        <v>113074</v>
      </c>
    </row>
    <row r="110" spans="1:21" ht="60" x14ac:dyDescent="0.2">
      <c r="A110" s="310"/>
      <c r="B110" s="88"/>
      <c r="C110" s="89"/>
      <c r="D110" s="89"/>
      <c r="E110" s="89"/>
      <c r="F110" s="89"/>
      <c r="G110" s="89"/>
      <c r="H110" s="89"/>
      <c r="I110" s="89"/>
      <c r="J110" s="90"/>
      <c r="K110" s="90" t="s">
        <v>106987</v>
      </c>
      <c r="L110" s="91" t="s">
        <v>113252</v>
      </c>
      <c r="M110" s="92" t="s">
        <v>113253</v>
      </c>
      <c r="N110" s="93">
        <v>45300</v>
      </c>
      <c r="O110" s="93" t="s">
        <v>113254</v>
      </c>
      <c r="P110" s="94" t="s">
        <v>113211</v>
      </c>
      <c r="Q110" s="94" t="s">
        <v>113053</v>
      </c>
      <c r="R110" s="95">
        <f>62700000/2</f>
        <v>31350000</v>
      </c>
      <c r="S110" s="126"/>
      <c r="T110" s="97"/>
      <c r="U110" s="98" t="s">
        <v>113072</v>
      </c>
    </row>
    <row r="111" spans="1:21" ht="105" x14ac:dyDescent="0.2">
      <c r="A111" s="310"/>
      <c r="B111" s="88"/>
      <c r="C111" s="89"/>
      <c r="D111" s="89"/>
      <c r="E111" s="89"/>
      <c r="F111" s="89"/>
      <c r="G111" s="89"/>
      <c r="H111" s="89"/>
      <c r="I111" s="89"/>
      <c r="J111" s="90"/>
      <c r="K111" s="90" t="s">
        <v>106987</v>
      </c>
      <c r="L111" s="91" t="s">
        <v>113252</v>
      </c>
      <c r="M111" s="92" t="s">
        <v>113255</v>
      </c>
      <c r="N111" s="93">
        <v>45300</v>
      </c>
      <c r="O111" s="93" t="s">
        <v>113254</v>
      </c>
      <c r="P111" s="94" t="s">
        <v>113256</v>
      </c>
      <c r="Q111" s="94" t="s">
        <v>113053</v>
      </c>
      <c r="R111" s="95">
        <v>31500000</v>
      </c>
      <c r="S111" s="126"/>
      <c r="T111" s="97"/>
      <c r="U111" s="98" t="s">
        <v>113072</v>
      </c>
    </row>
    <row r="112" spans="1:21" x14ac:dyDescent="0.2">
      <c r="A112" s="310"/>
      <c r="B112" s="72" t="s">
        <v>105516</v>
      </c>
      <c r="C112" s="72" t="s">
        <v>105573</v>
      </c>
      <c r="D112" s="72" t="s">
        <v>105573</v>
      </c>
      <c r="E112" s="72" t="s">
        <v>105573</v>
      </c>
      <c r="F112" s="72" t="s">
        <v>105553</v>
      </c>
      <c r="G112" s="72" t="s">
        <v>105538</v>
      </c>
      <c r="H112" s="72"/>
      <c r="I112" s="72"/>
      <c r="J112" s="72"/>
      <c r="K112" s="73"/>
      <c r="L112" s="73"/>
      <c r="M112" s="74" t="s">
        <v>106998</v>
      </c>
      <c r="N112" s="75"/>
      <c r="O112" s="75"/>
      <c r="P112" s="76"/>
      <c r="Q112" s="76"/>
      <c r="R112" s="77">
        <f>+R113</f>
        <v>1048568000</v>
      </c>
      <c r="S112" s="78"/>
      <c r="T112" s="78"/>
      <c r="U112" s="135"/>
    </row>
    <row r="113" spans="1:21" ht="30" x14ac:dyDescent="0.2">
      <c r="A113" s="310"/>
      <c r="B113" s="80" t="s">
        <v>105516</v>
      </c>
      <c r="C113" s="80" t="s">
        <v>105573</v>
      </c>
      <c r="D113" s="80" t="s">
        <v>105573</v>
      </c>
      <c r="E113" s="80" t="s">
        <v>105573</v>
      </c>
      <c r="F113" s="80" t="s">
        <v>105553</v>
      </c>
      <c r="G113" s="80" t="s">
        <v>105538</v>
      </c>
      <c r="H113" s="80" t="s">
        <v>105520</v>
      </c>
      <c r="I113" s="80"/>
      <c r="J113" s="80"/>
      <c r="K113" s="80"/>
      <c r="L113" s="80"/>
      <c r="M113" s="82" t="s">
        <v>107000</v>
      </c>
      <c r="N113" s="83"/>
      <c r="O113" s="83"/>
      <c r="P113" s="84"/>
      <c r="Q113" s="84"/>
      <c r="R113" s="85">
        <f>+R114+R142+R144</f>
        <v>1048568000</v>
      </c>
      <c r="S113" s="86"/>
      <c r="T113" s="86"/>
      <c r="U113" s="101"/>
    </row>
    <row r="114" spans="1:21" ht="30" x14ac:dyDescent="0.2">
      <c r="A114" s="310"/>
      <c r="B114" s="80" t="s">
        <v>105516</v>
      </c>
      <c r="C114" s="80" t="s">
        <v>105573</v>
      </c>
      <c r="D114" s="80" t="s">
        <v>105573</v>
      </c>
      <c r="E114" s="80" t="s">
        <v>105573</v>
      </c>
      <c r="F114" s="80" t="s">
        <v>105553</v>
      </c>
      <c r="G114" s="80" t="s">
        <v>105538</v>
      </c>
      <c r="H114" s="80" t="s">
        <v>105520</v>
      </c>
      <c r="I114" s="80" t="s">
        <v>105576</v>
      </c>
      <c r="J114" s="122"/>
      <c r="K114" s="122"/>
      <c r="L114" s="122"/>
      <c r="M114" s="82" t="s">
        <v>107002</v>
      </c>
      <c r="N114" s="83"/>
      <c r="O114" s="83"/>
      <c r="P114" s="84"/>
      <c r="Q114" s="111"/>
      <c r="R114" s="85">
        <f>SUM(R115:R140)</f>
        <v>963559000</v>
      </c>
      <c r="S114" s="86"/>
      <c r="T114" s="86"/>
      <c r="U114" s="101"/>
    </row>
    <row r="115" spans="1:21" ht="45" hidden="1" x14ac:dyDescent="0.2">
      <c r="A115" s="310"/>
      <c r="B115" s="88"/>
      <c r="C115" s="89"/>
      <c r="D115" s="89"/>
      <c r="E115" s="89"/>
      <c r="F115" s="89"/>
      <c r="G115" s="89"/>
      <c r="H115" s="89"/>
      <c r="I115" s="89"/>
      <c r="J115" s="90"/>
      <c r="K115" s="90" t="s">
        <v>106997</v>
      </c>
      <c r="L115" s="55">
        <v>81101500</v>
      </c>
      <c r="M115" s="102" t="s">
        <v>113257</v>
      </c>
      <c r="N115" s="93">
        <v>45322</v>
      </c>
      <c r="O115" s="93" t="s">
        <v>113037</v>
      </c>
      <c r="P115" s="94" t="s">
        <v>113022</v>
      </c>
      <c r="Q115" s="94" t="s">
        <v>113258</v>
      </c>
      <c r="R115" s="317">
        <v>0</v>
      </c>
      <c r="S115" s="133"/>
      <c r="T115" s="136"/>
      <c r="U115" s="98" t="s">
        <v>113080</v>
      </c>
    </row>
    <row r="116" spans="1:21" ht="68.25" customHeight="1" x14ac:dyDescent="0.2">
      <c r="A116" s="310"/>
      <c r="B116" s="88"/>
      <c r="C116" s="89"/>
      <c r="D116" s="89"/>
      <c r="E116" s="89"/>
      <c r="F116" s="89"/>
      <c r="G116" s="89"/>
      <c r="H116" s="89"/>
      <c r="I116" s="89"/>
      <c r="J116" s="90"/>
      <c r="K116" s="90" t="s">
        <v>106997</v>
      </c>
      <c r="L116" s="55">
        <v>81101500</v>
      </c>
      <c r="M116" s="102" t="s">
        <v>113259</v>
      </c>
      <c r="N116" s="93">
        <v>45322</v>
      </c>
      <c r="O116" s="93" t="s">
        <v>113037</v>
      </c>
      <c r="P116" s="94" t="s">
        <v>113022</v>
      </c>
      <c r="Q116" s="94" t="s">
        <v>113258</v>
      </c>
      <c r="R116" s="95">
        <v>25909000</v>
      </c>
      <c r="S116" s="137"/>
      <c r="T116" s="104"/>
      <c r="U116" s="100" t="s">
        <v>113080</v>
      </c>
    </row>
    <row r="117" spans="1:21" ht="135" x14ac:dyDescent="0.2">
      <c r="A117" s="310"/>
      <c r="B117" s="88"/>
      <c r="C117" s="89"/>
      <c r="D117" s="89"/>
      <c r="E117" s="89"/>
      <c r="F117" s="89"/>
      <c r="G117" s="89"/>
      <c r="H117" s="89"/>
      <c r="I117" s="89"/>
      <c r="J117" s="90"/>
      <c r="K117" s="90" t="s">
        <v>106997</v>
      </c>
      <c r="L117" s="55">
        <v>80101500</v>
      </c>
      <c r="M117" s="102" t="s">
        <v>113205</v>
      </c>
      <c r="N117" s="93">
        <v>45321</v>
      </c>
      <c r="O117" s="93" t="s">
        <v>113060</v>
      </c>
      <c r="P117" s="94" t="s">
        <v>113011</v>
      </c>
      <c r="Q117" s="94" t="s">
        <v>113071</v>
      </c>
      <c r="R117" s="95">
        <f>62700000/2</f>
        <v>31350000</v>
      </c>
      <c r="S117" s="96"/>
      <c r="T117" s="97"/>
      <c r="U117" s="100" t="s">
        <v>113012</v>
      </c>
    </row>
    <row r="118" spans="1:21" ht="30" x14ac:dyDescent="0.2">
      <c r="A118" s="310"/>
      <c r="B118" s="88"/>
      <c r="C118" s="89"/>
      <c r="D118" s="89"/>
      <c r="E118" s="89"/>
      <c r="F118" s="89"/>
      <c r="G118" s="89"/>
      <c r="H118" s="89"/>
      <c r="I118" s="89"/>
      <c r="J118" s="90"/>
      <c r="K118" s="90" t="s">
        <v>106997</v>
      </c>
      <c r="L118" s="55">
        <v>80101500</v>
      </c>
      <c r="M118" s="102" t="s">
        <v>113077</v>
      </c>
      <c r="N118" s="93">
        <v>45545</v>
      </c>
      <c r="O118" s="93" t="s">
        <v>113078</v>
      </c>
      <c r="P118" s="94" t="s">
        <v>113079</v>
      </c>
      <c r="Q118" s="94" t="s">
        <v>113071</v>
      </c>
      <c r="R118" s="95">
        <v>23000000</v>
      </c>
      <c r="S118" s="96"/>
      <c r="T118" s="97"/>
      <c r="U118" s="92" t="s">
        <v>113019</v>
      </c>
    </row>
    <row r="119" spans="1:21" ht="30" x14ac:dyDescent="0.2">
      <c r="A119" s="310"/>
      <c r="B119" s="88"/>
      <c r="C119" s="89"/>
      <c r="D119" s="89"/>
      <c r="E119" s="89"/>
      <c r="F119" s="89"/>
      <c r="G119" s="89"/>
      <c r="H119" s="89"/>
      <c r="I119" s="89"/>
      <c r="J119" s="90"/>
      <c r="K119" s="90" t="s">
        <v>106997</v>
      </c>
      <c r="L119" s="91" t="s">
        <v>113084</v>
      </c>
      <c r="M119" s="102" t="s">
        <v>113085</v>
      </c>
      <c r="N119" s="93">
        <v>45308</v>
      </c>
      <c r="O119" s="93" t="s">
        <v>113037</v>
      </c>
      <c r="P119" s="94" t="s">
        <v>113022</v>
      </c>
      <c r="Q119" s="94" t="s">
        <v>112999</v>
      </c>
      <c r="R119" s="95">
        <v>40000000</v>
      </c>
      <c r="S119" s="96"/>
      <c r="T119" s="97"/>
      <c r="U119" s="92" t="s">
        <v>113003</v>
      </c>
    </row>
    <row r="120" spans="1:21" ht="30" x14ac:dyDescent="0.2">
      <c r="A120" s="310"/>
      <c r="B120" s="88"/>
      <c r="C120" s="89"/>
      <c r="D120" s="89"/>
      <c r="E120" s="89"/>
      <c r="F120" s="89"/>
      <c r="G120" s="89"/>
      <c r="H120" s="89"/>
      <c r="I120" s="89"/>
      <c r="J120" s="90"/>
      <c r="K120" s="90" t="s">
        <v>106997</v>
      </c>
      <c r="L120" s="55">
        <v>81111800</v>
      </c>
      <c r="M120" s="102" t="s">
        <v>113086</v>
      </c>
      <c r="N120" s="93">
        <v>45308</v>
      </c>
      <c r="O120" s="93" t="s">
        <v>113037</v>
      </c>
      <c r="P120" s="94" t="s">
        <v>113022</v>
      </c>
      <c r="Q120" s="94" t="s">
        <v>112999</v>
      </c>
      <c r="R120" s="95">
        <v>71000000</v>
      </c>
      <c r="S120" s="96"/>
      <c r="T120" s="97"/>
      <c r="U120" s="92" t="s">
        <v>113003</v>
      </c>
    </row>
    <row r="121" spans="1:21" ht="45" x14ac:dyDescent="0.2">
      <c r="A121" s="310"/>
      <c r="B121" s="88"/>
      <c r="C121" s="89"/>
      <c r="D121" s="89"/>
      <c r="E121" s="89"/>
      <c r="F121" s="89"/>
      <c r="G121" s="89"/>
      <c r="H121" s="89"/>
      <c r="I121" s="89"/>
      <c r="J121" s="90"/>
      <c r="K121" s="90" t="s">
        <v>106997</v>
      </c>
      <c r="L121" s="55">
        <v>81111500</v>
      </c>
      <c r="M121" s="102" t="s">
        <v>113088</v>
      </c>
      <c r="N121" s="93">
        <v>45300</v>
      </c>
      <c r="O121" s="93" t="s">
        <v>113037</v>
      </c>
      <c r="P121" s="94" t="s">
        <v>113011</v>
      </c>
      <c r="Q121" s="94" t="s">
        <v>113053</v>
      </c>
      <c r="R121" s="95">
        <f>(4100000*11)/2</f>
        <v>22550000</v>
      </c>
      <c r="S121" s="96"/>
      <c r="T121" s="97"/>
      <c r="U121" s="92" t="s">
        <v>113003</v>
      </c>
    </row>
    <row r="122" spans="1:21" ht="45" x14ac:dyDescent="0.2">
      <c r="A122" s="310"/>
      <c r="B122" s="88"/>
      <c r="C122" s="89"/>
      <c r="D122" s="89"/>
      <c r="E122" s="89"/>
      <c r="F122" s="89"/>
      <c r="G122" s="89"/>
      <c r="H122" s="89"/>
      <c r="I122" s="89"/>
      <c r="J122" s="90"/>
      <c r="K122" s="90" t="s">
        <v>106997</v>
      </c>
      <c r="L122" s="55">
        <v>81111500</v>
      </c>
      <c r="M122" s="102" t="s">
        <v>113260</v>
      </c>
      <c r="N122" s="93">
        <v>45300</v>
      </c>
      <c r="O122" s="93" t="s">
        <v>113037</v>
      </c>
      <c r="P122" s="94" t="s">
        <v>113011</v>
      </c>
      <c r="Q122" s="94" t="s">
        <v>113053</v>
      </c>
      <c r="R122" s="95">
        <f>66000000/2</f>
        <v>33000000</v>
      </c>
      <c r="S122" s="96"/>
      <c r="T122" s="97"/>
      <c r="U122" s="92" t="s">
        <v>113003</v>
      </c>
    </row>
    <row r="123" spans="1:21" ht="45" x14ac:dyDescent="0.2">
      <c r="A123" s="310"/>
      <c r="B123" s="88"/>
      <c r="C123" s="89"/>
      <c r="D123" s="89"/>
      <c r="E123" s="89"/>
      <c r="F123" s="89"/>
      <c r="G123" s="89"/>
      <c r="H123" s="89"/>
      <c r="I123" s="89"/>
      <c r="J123" s="90"/>
      <c r="K123" s="90" t="s">
        <v>106997</v>
      </c>
      <c r="L123" s="55">
        <v>81111500</v>
      </c>
      <c r="M123" s="102" t="s">
        <v>113261</v>
      </c>
      <c r="N123" s="93">
        <v>45300</v>
      </c>
      <c r="O123" s="93" t="s">
        <v>113037</v>
      </c>
      <c r="P123" s="94" t="s">
        <v>113011</v>
      </c>
      <c r="Q123" s="94" t="s">
        <v>113053</v>
      </c>
      <c r="R123" s="95">
        <f>88000000/2</f>
        <v>44000000</v>
      </c>
      <c r="S123" s="96"/>
      <c r="T123" s="97"/>
      <c r="U123" s="92" t="s">
        <v>113003</v>
      </c>
    </row>
    <row r="124" spans="1:21" ht="45" hidden="1" x14ac:dyDescent="0.2">
      <c r="A124" s="310"/>
      <c r="B124" s="88"/>
      <c r="C124" s="89"/>
      <c r="D124" s="89"/>
      <c r="E124" s="89"/>
      <c r="F124" s="89"/>
      <c r="G124" s="89"/>
      <c r="H124" s="89"/>
      <c r="I124" s="89"/>
      <c r="J124" s="90"/>
      <c r="K124" s="90" t="s">
        <v>106997</v>
      </c>
      <c r="L124" s="55">
        <v>81111500</v>
      </c>
      <c r="M124" s="102" t="s">
        <v>113261</v>
      </c>
      <c r="N124" s="93">
        <v>45300</v>
      </c>
      <c r="O124" s="93" t="s">
        <v>113037</v>
      </c>
      <c r="P124" s="94" t="s">
        <v>113011</v>
      </c>
      <c r="Q124" s="94" t="s">
        <v>113053</v>
      </c>
      <c r="R124" s="95">
        <v>0</v>
      </c>
      <c r="S124" s="96"/>
      <c r="T124" s="97"/>
      <c r="U124" s="92" t="s">
        <v>113003</v>
      </c>
    </row>
    <row r="125" spans="1:21" ht="45" x14ac:dyDescent="0.2">
      <c r="A125" s="310"/>
      <c r="B125" s="88"/>
      <c r="C125" s="89"/>
      <c r="D125" s="89"/>
      <c r="E125" s="89"/>
      <c r="F125" s="89"/>
      <c r="G125" s="89"/>
      <c r="H125" s="89"/>
      <c r="I125" s="89"/>
      <c r="J125" s="90"/>
      <c r="K125" s="90" t="s">
        <v>106997</v>
      </c>
      <c r="L125" s="55">
        <v>81111500</v>
      </c>
      <c r="M125" s="102" t="s">
        <v>113262</v>
      </c>
      <c r="N125" s="93">
        <v>45300</v>
      </c>
      <c r="O125" s="93" t="s">
        <v>113037</v>
      </c>
      <c r="P125" s="94" t="s">
        <v>113011</v>
      </c>
      <c r="Q125" s="94" t="s">
        <v>113053</v>
      </c>
      <c r="R125" s="95">
        <f>82500000/2</f>
        <v>41250000</v>
      </c>
      <c r="S125" s="96"/>
      <c r="T125" s="97"/>
      <c r="U125" s="92" t="s">
        <v>113003</v>
      </c>
    </row>
    <row r="126" spans="1:21" ht="45" hidden="1" x14ac:dyDescent="0.2">
      <c r="A126" s="310"/>
      <c r="B126" s="88"/>
      <c r="C126" s="89"/>
      <c r="D126" s="89"/>
      <c r="E126" s="89"/>
      <c r="F126" s="89"/>
      <c r="G126" s="89"/>
      <c r="H126" s="89"/>
      <c r="I126" s="89"/>
      <c r="J126" s="90"/>
      <c r="K126" s="90" t="s">
        <v>106997</v>
      </c>
      <c r="L126" s="55">
        <v>81111500</v>
      </c>
      <c r="M126" s="102" t="s">
        <v>113263</v>
      </c>
      <c r="N126" s="93">
        <v>45300</v>
      </c>
      <c r="O126" s="93" t="s">
        <v>113037</v>
      </c>
      <c r="P126" s="94" t="s">
        <v>113011</v>
      </c>
      <c r="Q126" s="94" t="s">
        <v>113053</v>
      </c>
      <c r="R126" s="95">
        <v>0</v>
      </c>
      <c r="S126" s="96"/>
      <c r="T126" s="97"/>
      <c r="U126" s="92" t="s">
        <v>113003</v>
      </c>
    </row>
    <row r="127" spans="1:21" ht="45" hidden="1" x14ac:dyDescent="0.2">
      <c r="A127" s="310"/>
      <c r="B127" s="88"/>
      <c r="C127" s="89"/>
      <c r="D127" s="89"/>
      <c r="E127" s="89"/>
      <c r="F127" s="89"/>
      <c r="G127" s="89"/>
      <c r="H127" s="89"/>
      <c r="I127" s="89"/>
      <c r="J127" s="90"/>
      <c r="K127" s="90" t="s">
        <v>106997</v>
      </c>
      <c r="L127" s="55">
        <v>81111500</v>
      </c>
      <c r="M127" s="102" t="s">
        <v>113263</v>
      </c>
      <c r="N127" s="93">
        <v>45300</v>
      </c>
      <c r="O127" s="93" t="s">
        <v>113037</v>
      </c>
      <c r="P127" s="94" t="s">
        <v>113011</v>
      </c>
      <c r="Q127" s="94" t="s">
        <v>113053</v>
      </c>
      <c r="R127" s="95">
        <v>0</v>
      </c>
      <c r="S127" s="96"/>
      <c r="T127" s="97"/>
      <c r="U127" s="92" t="s">
        <v>113003</v>
      </c>
    </row>
    <row r="128" spans="1:21" ht="45" hidden="1" x14ac:dyDescent="0.2">
      <c r="A128" s="310"/>
      <c r="B128" s="88"/>
      <c r="C128" s="89"/>
      <c r="D128" s="89"/>
      <c r="E128" s="89"/>
      <c r="F128" s="89"/>
      <c r="G128" s="89"/>
      <c r="H128" s="89"/>
      <c r="I128" s="89"/>
      <c r="J128" s="90"/>
      <c r="K128" s="90" t="s">
        <v>106997</v>
      </c>
      <c r="L128" s="55">
        <v>81111500</v>
      </c>
      <c r="M128" s="102" t="s">
        <v>113264</v>
      </c>
      <c r="N128" s="93">
        <v>45300</v>
      </c>
      <c r="O128" s="93" t="s">
        <v>113037</v>
      </c>
      <c r="P128" s="94" t="s">
        <v>113011</v>
      </c>
      <c r="Q128" s="94" t="s">
        <v>113053</v>
      </c>
      <c r="R128" s="95">
        <v>0</v>
      </c>
      <c r="S128" s="96"/>
      <c r="T128" s="97"/>
      <c r="U128" s="92" t="s">
        <v>113003</v>
      </c>
    </row>
    <row r="129" spans="1:21" ht="30" x14ac:dyDescent="0.2">
      <c r="A129" s="310"/>
      <c r="B129" s="88"/>
      <c r="C129" s="89"/>
      <c r="D129" s="89"/>
      <c r="E129" s="89"/>
      <c r="F129" s="89"/>
      <c r="G129" s="89"/>
      <c r="H129" s="89"/>
      <c r="I129" s="89"/>
      <c r="J129" s="90"/>
      <c r="K129" s="90" t="s">
        <v>106997</v>
      </c>
      <c r="L129" s="55">
        <v>81111500</v>
      </c>
      <c r="M129" s="102" t="s">
        <v>113089</v>
      </c>
      <c r="N129" s="93">
        <v>45300</v>
      </c>
      <c r="O129" s="93" t="s">
        <v>113037</v>
      </c>
      <c r="P129" s="94" t="s">
        <v>113011</v>
      </c>
      <c r="Q129" s="94" t="s">
        <v>113053</v>
      </c>
      <c r="R129" s="95">
        <f>62700000/2</f>
        <v>31350000</v>
      </c>
      <c r="S129" s="96"/>
      <c r="T129" s="97"/>
      <c r="U129" s="92" t="s">
        <v>113003</v>
      </c>
    </row>
    <row r="130" spans="1:21" ht="30" x14ac:dyDescent="0.2">
      <c r="A130" s="310"/>
      <c r="B130" s="88"/>
      <c r="C130" s="89"/>
      <c r="D130" s="89"/>
      <c r="E130" s="89"/>
      <c r="F130" s="89"/>
      <c r="G130" s="89"/>
      <c r="H130" s="89"/>
      <c r="I130" s="89"/>
      <c r="J130" s="90"/>
      <c r="K130" s="90" t="s">
        <v>106997</v>
      </c>
      <c r="L130" s="55">
        <v>81112200</v>
      </c>
      <c r="M130" s="102" t="s">
        <v>113090</v>
      </c>
      <c r="N130" s="93">
        <v>45300</v>
      </c>
      <c r="O130" s="93" t="s">
        <v>113037</v>
      </c>
      <c r="P130" s="94" t="s">
        <v>113011</v>
      </c>
      <c r="Q130" s="94" t="s">
        <v>113053</v>
      </c>
      <c r="R130" s="95">
        <v>14000000</v>
      </c>
      <c r="S130" s="96"/>
      <c r="T130" s="97"/>
      <c r="U130" s="92" t="s">
        <v>113003</v>
      </c>
    </row>
    <row r="131" spans="1:21" ht="30" x14ac:dyDescent="0.2">
      <c r="A131" s="310"/>
      <c r="B131" s="88"/>
      <c r="C131" s="89"/>
      <c r="D131" s="89"/>
      <c r="E131" s="89"/>
      <c r="F131" s="89"/>
      <c r="G131" s="89"/>
      <c r="H131" s="89"/>
      <c r="I131" s="89"/>
      <c r="J131" s="90"/>
      <c r="K131" s="90" t="s">
        <v>106997</v>
      </c>
      <c r="L131" s="55">
        <v>81112200</v>
      </c>
      <c r="M131" s="102" t="s">
        <v>113091</v>
      </c>
      <c r="N131" s="93">
        <v>45454</v>
      </c>
      <c r="O131" s="93" t="s">
        <v>112997</v>
      </c>
      <c r="P131" s="94" t="s">
        <v>112998</v>
      </c>
      <c r="Q131" s="94" t="s">
        <v>113053</v>
      </c>
      <c r="R131" s="95">
        <v>92000000</v>
      </c>
      <c r="S131" s="96"/>
      <c r="T131" s="97"/>
      <c r="U131" s="92" t="s">
        <v>113003</v>
      </c>
    </row>
    <row r="132" spans="1:21" ht="75" x14ac:dyDescent="0.2">
      <c r="A132" s="310"/>
      <c r="B132" s="88"/>
      <c r="C132" s="89"/>
      <c r="D132" s="89"/>
      <c r="E132" s="89"/>
      <c r="F132" s="89"/>
      <c r="G132" s="89"/>
      <c r="H132" s="89"/>
      <c r="I132" s="89"/>
      <c r="J132" s="90"/>
      <c r="K132" s="90" t="s">
        <v>106997</v>
      </c>
      <c r="L132" s="55" t="s">
        <v>113092</v>
      </c>
      <c r="M132" s="102" t="s">
        <v>113093</v>
      </c>
      <c r="N132" s="93">
        <v>45308</v>
      </c>
      <c r="O132" s="93" t="s">
        <v>113006</v>
      </c>
      <c r="P132" s="94" t="s">
        <v>113002</v>
      </c>
      <c r="Q132" s="94" t="s">
        <v>113094</v>
      </c>
      <c r="R132" s="95">
        <v>290000000</v>
      </c>
      <c r="S132" s="96"/>
      <c r="T132" s="97"/>
      <c r="U132" s="92" t="s">
        <v>113003</v>
      </c>
    </row>
    <row r="133" spans="1:21" ht="30" x14ac:dyDescent="0.2">
      <c r="A133" s="310"/>
      <c r="B133" s="138"/>
      <c r="C133" s="139"/>
      <c r="D133" s="139"/>
      <c r="E133" s="139"/>
      <c r="F133" s="139"/>
      <c r="G133" s="139"/>
      <c r="H133" s="139"/>
      <c r="I133" s="139"/>
      <c r="J133" s="140"/>
      <c r="K133" s="140" t="s">
        <v>106997</v>
      </c>
      <c r="L133" s="55">
        <v>81111800</v>
      </c>
      <c r="M133" s="92" t="s">
        <v>113265</v>
      </c>
      <c r="N133" s="93">
        <v>45308</v>
      </c>
      <c r="O133" s="93" t="s">
        <v>113037</v>
      </c>
      <c r="P133" s="94" t="s">
        <v>112998</v>
      </c>
      <c r="Q133" s="94" t="s">
        <v>113053</v>
      </c>
      <c r="R133" s="95">
        <v>65000000</v>
      </c>
      <c r="S133" s="96"/>
      <c r="T133" s="97"/>
      <c r="U133" s="92" t="s">
        <v>113003</v>
      </c>
    </row>
    <row r="134" spans="1:21" ht="120" x14ac:dyDescent="0.2">
      <c r="A134" s="310"/>
      <c r="B134" s="138"/>
      <c r="C134" s="139"/>
      <c r="D134" s="139"/>
      <c r="E134" s="139"/>
      <c r="F134" s="139"/>
      <c r="G134" s="139"/>
      <c r="H134" s="139"/>
      <c r="I134" s="139"/>
      <c r="J134" s="140"/>
      <c r="K134" s="140" t="s">
        <v>106997</v>
      </c>
      <c r="L134" s="91" t="s">
        <v>113266</v>
      </c>
      <c r="M134" s="92" t="s">
        <v>113267</v>
      </c>
      <c r="N134" s="93">
        <v>45300</v>
      </c>
      <c r="O134" s="93" t="s">
        <v>113254</v>
      </c>
      <c r="P134" s="94" t="s">
        <v>113211</v>
      </c>
      <c r="Q134" s="94" t="s">
        <v>113053</v>
      </c>
      <c r="R134" s="95">
        <f>62700000/2</f>
        <v>31350000</v>
      </c>
      <c r="S134" s="96"/>
      <c r="T134" s="97"/>
      <c r="U134" s="92" t="s">
        <v>113075</v>
      </c>
    </row>
    <row r="135" spans="1:21" ht="135" x14ac:dyDescent="0.2">
      <c r="A135" s="310"/>
      <c r="B135" s="138"/>
      <c r="C135" s="139"/>
      <c r="D135" s="139"/>
      <c r="E135" s="139"/>
      <c r="F135" s="139"/>
      <c r="G135" s="139"/>
      <c r="H135" s="139"/>
      <c r="I135" s="139"/>
      <c r="J135" s="140"/>
      <c r="K135" s="140" t="s">
        <v>106997</v>
      </c>
      <c r="L135" s="91" t="s">
        <v>113252</v>
      </c>
      <c r="M135" s="92" t="s">
        <v>113268</v>
      </c>
      <c r="N135" s="93">
        <v>45300</v>
      </c>
      <c r="O135" s="93" t="s">
        <v>113254</v>
      </c>
      <c r="P135" s="94" t="s">
        <v>113211</v>
      </c>
      <c r="Q135" s="94" t="s">
        <v>113053</v>
      </c>
      <c r="R135" s="95">
        <f>62700000/2</f>
        <v>31350000</v>
      </c>
      <c r="S135" s="96"/>
      <c r="T135" s="97"/>
      <c r="U135" s="92" t="s">
        <v>113075</v>
      </c>
    </row>
    <row r="136" spans="1:21" ht="135" x14ac:dyDescent="0.2">
      <c r="A136" s="310"/>
      <c r="B136" s="138"/>
      <c r="C136" s="139"/>
      <c r="D136" s="139"/>
      <c r="E136" s="139"/>
      <c r="F136" s="139"/>
      <c r="G136" s="139"/>
      <c r="H136" s="139"/>
      <c r="I136" s="139"/>
      <c r="J136" s="140"/>
      <c r="K136" s="140" t="s">
        <v>106997</v>
      </c>
      <c r="L136" s="91" t="s">
        <v>113252</v>
      </c>
      <c r="M136" s="92" t="s">
        <v>113268</v>
      </c>
      <c r="N136" s="93">
        <v>45300</v>
      </c>
      <c r="O136" s="93" t="s">
        <v>113254</v>
      </c>
      <c r="P136" s="94" t="s">
        <v>113211</v>
      </c>
      <c r="Q136" s="94" t="s">
        <v>113053</v>
      </c>
      <c r="R136" s="95">
        <f>62700000/2</f>
        <v>31350000</v>
      </c>
      <c r="S136" s="96"/>
      <c r="T136" s="97"/>
      <c r="U136" s="92" t="s">
        <v>113075</v>
      </c>
    </row>
    <row r="137" spans="1:21" ht="120" x14ac:dyDescent="0.2">
      <c r="A137" s="310"/>
      <c r="B137" s="138"/>
      <c r="C137" s="139"/>
      <c r="D137" s="139"/>
      <c r="E137" s="139"/>
      <c r="F137" s="139"/>
      <c r="G137" s="139"/>
      <c r="H137" s="139"/>
      <c r="I137" s="139"/>
      <c r="J137" s="140"/>
      <c r="K137" s="140" t="s">
        <v>106997</v>
      </c>
      <c r="L137" s="91" t="s">
        <v>113266</v>
      </c>
      <c r="M137" s="92" t="s">
        <v>113269</v>
      </c>
      <c r="N137" s="93">
        <v>45300</v>
      </c>
      <c r="O137" s="93" t="s">
        <v>113254</v>
      </c>
      <c r="P137" s="94" t="s">
        <v>113211</v>
      </c>
      <c r="Q137" s="94" t="s">
        <v>113053</v>
      </c>
      <c r="R137" s="95">
        <f>45100000/2</f>
        <v>22550000</v>
      </c>
      <c r="S137" s="96"/>
      <c r="T137" s="97"/>
      <c r="U137" s="92" t="s">
        <v>113075</v>
      </c>
    </row>
    <row r="138" spans="1:21" ht="135" hidden="1" x14ac:dyDescent="0.2">
      <c r="A138" s="310"/>
      <c r="B138" s="138"/>
      <c r="C138" s="139"/>
      <c r="D138" s="139"/>
      <c r="E138" s="139"/>
      <c r="F138" s="139"/>
      <c r="G138" s="139"/>
      <c r="H138" s="139"/>
      <c r="I138" s="139"/>
      <c r="J138" s="140"/>
      <c r="K138" s="140" t="s">
        <v>106997</v>
      </c>
      <c r="L138" s="91">
        <v>80101500</v>
      </c>
      <c r="M138" s="92" t="s">
        <v>113076</v>
      </c>
      <c r="N138" s="93">
        <v>45300</v>
      </c>
      <c r="O138" s="93" t="s">
        <v>113254</v>
      </c>
      <c r="P138" s="94" t="s">
        <v>113212</v>
      </c>
      <c r="Q138" s="94" t="s">
        <v>113053</v>
      </c>
      <c r="R138" s="95">
        <v>0</v>
      </c>
      <c r="S138" s="96"/>
      <c r="T138" s="97"/>
      <c r="U138" s="92" t="s">
        <v>113075</v>
      </c>
    </row>
    <row r="139" spans="1:21" ht="120" hidden="1" x14ac:dyDescent="0.2">
      <c r="A139" s="310"/>
      <c r="B139" s="138"/>
      <c r="C139" s="139"/>
      <c r="D139" s="139"/>
      <c r="E139" s="139"/>
      <c r="F139" s="139"/>
      <c r="G139" s="139"/>
      <c r="H139" s="139"/>
      <c r="I139" s="139"/>
      <c r="J139" s="140"/>
      <c r="K139" s="140" t="s">
        <v>106997</v>
      </c>
      <c r="L139" s="128">
        <v>80101500</v>
      </c>
      <c r="M139" s="92" t="s">
        <v>113270</v>
      </c>
      <c r="N139" s="93">
        <v>45300</v>
      </c>
      <c r="O139" s="93" t="s">
        <v>113254</v>
      </c>
      <c r="P139" s="94" t="s">
        <v>113212</v>
      </c>
      <c r="Q139" s="94" t="s">
        <v>113053</v>
      </c>
      <c r="R139" s="95">
        <v>0</v>
      </c>
      <c r="S139" s="96"/>
      <c r="T139" s="97"/>
      <c r="U139" s="92" t="s">
        <v>113075</v>
      </c>
    </row>
    <row r="140" spans="1:21" ht="75" x14ac:dyDescent="0.2">
      <c r="A140" s="310"/>
      <c r="B140" s="138"/>
      <c r="C140" s="139"/>
      <c r="D140" s="139"/>
      <c r="E140" s="139"/>
      <c r="F140" s="139"/>
      <c r="G140" s="139"/>
      <c r="H140" s="139"/>
      <c r="I140" s="139"/>
      <c r="J140" s="140"/>
      <c r="K140" s="140" t="s">
        <v>106997</v>
      </c>
      <c r="L140" s="128">
        <v>80101500</v>
      </c>
      <c r="M140" s="92" t="s">
        <v>113081</v>
      </c>
      <c r="N140" s="93">
        <v>45300</v>
      </c>
      <c r="O140" s="93" t="s">
        <v>113204</v>
      </c>
      <c r="P140" s="94" t="s">
        <v>113011</v>
      </c>
      <c r="Q140" s="94" t="s">
        <v>113071</v>
      </c>
      <c r="R140" s="95">
        <f>45100000/2</f>
        <v>22550000</v>
      </c>
      <c r="S140" s="96"/>
      <c r="T140" s="97"/>
      <c r="U140" s="92" t="s">
        <v>113082</v>
      </c>
    </row>
    <row r="141" spans="1:21" ht="30" hidden="1" x14ac:dyDescent="0.2">
      <c r="A141" s="310"/>
      <c r="B141" s="138"/>
      <c r="C141" s="139"/>
      <c r="D141" s="139"/>
      <c r="E141" s="139"/>
      <c r="F141" s="139"/>
      <c r="G141" s="139"/>
      <c r="H141" s="139"/>
      <c r="I141" s="139"/>
      <c r="J141" s="140"/>
      <c r="K141" s="140"/>
      <c r="L141" s="318">
        <v>80101500</v>
      </c>
      <c r="M141" s="131" t="s">
        <v>113271</v>
      </c>
      <c r="N141" s="93">
        <v>45108</v>
      </c>
      <c r="O141" s="93" t="s">
        <v>112997</v>
      </c>
      <c r="P141" s="94" t="s">
        <v>112998</v>
      </c>
      <c r="Q141" s="94"/>
      <c r="R141" s="313">
        <v>0</v>
      </c>
      <c r="S141" s="96"/>
      <c r="T141" s="97"/>
      <c r="U141" s="92"/>
    </row>
    <row r="142" spans="1:21" hidden="1" x14ac:dyDescent="0.2">
      <c r="A142" s="310"/>
      <c r="B142" s="80" t="s">
        <v>105516</v>
      </c>
      <c r="C142" s="80" t="s">
        <v>105573</v>
      </c>
      <c r="D142" s="80" t="s">
        <v>105573</v>
      </c>
      <c r="E142" s="80" t="s">
        <v>105573</v>
      </c>
      <c r="F142" s="80" t="s">
        <v>105553</v>
      </c>
      <c r="G142" s="80" t="s">
        <v>105538</v>
      </c>
      <c r="H142" s="80" t="s">
        <v>105520</v>
      </c>
      <c r="I142" s="80" t="s">
        <v>105579</v>
      </c>
      <c r="J142" s="80"/>
      <c r="K142" s="80"/>
      <c r="L142" s="80"/>
      <c r="M142" s="82" t="s">
        <v>107004</v>
      </c>
      <c r="N142" s="83"/>
      <c r="O142" s="83"/>
      <c r="P142" s="84"/>
      <c r="Q142" s="111"/>
      <c r="R142" s="85">
        <f>SUM(R143)</f>
        <v>0</v>
      </c>
      <c r="S142" s="86"/>
      <c r="T142" s="86"/>
      <c r="U142" s="101"/>
    </row>
    <row r="143" spans="1:21" ht="30" hidden="1" x14ac:dyDescent="0.2">
      <c r="A143" s="310"/>
      <c r="B143" s="88"/>
      <c r="C143" s="89"/>
      <c r="D143" s="89"/>
      <c r="E143" s="89"/>
      <c r="F143" s="89"/>
      <c r="G143" s="89"/>
      <c r="H143" s="89"/>
      <c r="I143" s="89"/>
      <c r="J143" s="90"/>
      <c r="K143" s="90" t="s">
        <v>106997</v>
      </c>
      <c r="L143" s="55">
        <v>80101500</v>
      </c>
      <c r="M143" s="102" t="s">
        <v>113083</v>
      </c>
      <c r="N143" s="93">
        <v>45565</v>
      </c>
      <c r="O143" s="93" t="s">
        <v>113070</v>
      </c>
      <c r="P143" s="94" t="s">
        <v>112998</v>
      </c>
      <c r="Q143" s="94" t="s">
        <v>113071</v>
      </c>
      <c r="R143" s="313">
        <v>0</v>
      </c>
      <c r="S143" s="96"/>
      <c r="T143" s="97"/>
      <c r="U143" s="98" t="s">
        <v>113012</v>
      </c>
    </row>
    <row r="144" spans="1:21" ht="30" x14ac:dyDescent="0.2">
      <c r="A144" s="310"/>
      <c r="B144" s="80" t="s">
        <v>105516</v>
      </c>
      <c r="C144" s="80" t="s">
        <v>105573</v>
      </c>
      <c r="D144" s="80" t="s">
        <v>105573</v>
      </c>
      <c r="E144" s="80" t="s">
        <v>105573</v>
      </c>
      <c r="F144" s="80" t="s">
        <v>105553</v>
      </c>
      <c r="G144" s="80" t="s">
        <v>105538</v>
      </c>
      <c r="H144" s="80" t="s">
        <v>105520</v>
      </c>
      <c r="I144" s="80" t="s">
        <v>106211</v>
      </c>
      <c r="J144" s="80"/>
      <c r="K144" s="80"/>
      <c r="L144" s="80"/>
      <c r="M144" s="82" t="s">
        <v>107006</v>
      </c>
      <c r="N144" s="83"/>
      <c r="O144" s="83"/>
      <c r="P144" s="84"/>
      <c r="Q144" s="84"/>
      <c r="R144" s="85">
        <f>SUM(R145:R150)</f>
        <v>85009000</v>
      </c>
      <c r="S144" s="86"/>
      <c r="T144" s="86"/>
      <c r="U144" s="101"/>
    </row>
    <row r="145" spans="1:21" ht="30" x14ac:dyDescent="0.2">
      <c r="A145" s="310"/>
      <c r="B145" s="88"/>
      <c r="C145" s="89"/>
      <c r="D145" s="89"/>
      <c r="E145" s="89"/>
      <c r="F145" s="89"/>
      <c r="G145" s="89"/>
      <c r="H145" s="89"/>
      <c r="I145" s="89"/>
      <c r="J145" s="90"/>
      <c r="K145" s="90" t="s">
        <v>106997</v>
      </c>
      <c r="L145" s="91">
        <v>80101500</v>
      </c>
      <c r="M145" s="92" t="s">
        <v>113272</v>
      </c>
      <c r="N145" s="93">
        <v>45300</v>
      </c>
      <c r="O145" s="93" t="s">
        <v>113037</v>
      </c>
      <c r="P145" s="94" t="s">
        <v>113206</v>
      </c>
      <c r="Q145" s="94" t="s">
        <v>113053</v>
      </c>
      <c r="R145" s="95">
        <v>8200000</v>
      </c>
      <c r="S145" s="96"/>
      <c r="T145" s="97"/>
      <c r="U145" s="98" t="s">
        <v>113054</v>
      </c>
    </row>
    <row r="146" spans="1:21" ht="30" x14ac:dyDescent="0.2">
      <c r="A146" s="310"/>
      <c r="B146" s="88"/>
      <c r="C146" s="89"/>
      <c r="D146" s="89"/>
      <c r="E146" s="89"/>
      <c r="F146" s="89"/>
      <c r="G146" s="89"/>
      <c r="H146" s="89"/>
      <c r="I146" s="89"/>
      <c r="J146" s="90"/>
      <c r="K146" s="90" t="s">
        <v>106997</v>
      </c>
      <c r="L146" s="91">
        <v>80111600</v>
      </c>
      <c r="M146" s="92" t="s">
        <v>113272</v>
      </c>
      <c r="N146" s="93">
        <v>45300</v>
      </c>
      <c r="O146" s="93" t="s">
        <v>113060</v>
      </c>
      <c r="P146" s="94" t="s">
        <v>113011</v>
      </c>
      <c r="Q146" s="94" t="s">
        <v>113053</v>
      </c>
      <c r="R146" s="95">
        <v>28600000</v>
      </c>
      <c r="S146" s="126"/>
      <c r="T146" s="97"/>
      <c r="U146" s="98" t="s">
        <v>113054</v>
      </c>
    </row>
    <row r="147" spans="1:21" ht="30" x14ac:dyDescent="0.2">
      <c r="A147" s="310"/>
      <c r="B147" s="88"/>
      <c r="C147" s="89"/>
      <c r="D147" s="89"/>
      <c r="E147" s="89"/>
      <c r="F147" s="89"/>
      <c r="G147" s="89"/>
      <c r="H147" s="89"/>
      <c r="I147" s="89"/>
      <c r="J147" s="90"/>
      <c r="K147" s="90" t="s">
        <v>106997</v>
      </c>
      <c r="L147" s="91">
        <v>80111600</v>
      </c>
      <c r="M147" s="92" t="s">
        <v>113272</v>
      </c>
      <c r="N147" s="93">
        <v>45300</v>
      </c>
      <c r="O147" s="93" t="s">
        <v>113060</v>
      </c>
      <c r="P147" s="94" t="s">
        <v>113004</v>
      </c>
      <c r="Q147" s="94" t="s">
        <v>113053</v>
      </c>
      <c r="R147" s="95">
        <v>24409000</v>
      </c>
      <c r="S147" s="96"/>
      <c r="T147" s="97"/>
      <c r="U147" s="98" t="s">
        <v>113054</v>
      </c>
    </row>
    <row r="148" spans="1:21" ht="30" hidden="1" x14ac:dyDescent="0.2">
      <c r="A148" s="310"/>
      <c r="B148" s="88"/>
      <c r="C148" s="89"/>
      <c r="D148" s="89"/>
      <c r="E148" s="89"/>
      <c r="F148" s="89"/>
      <c r="G148" s="89"/>
      <c r="H148" s="89"/>
      <c r="I148" s="89"/>
      <c r="J148" s="90"/>
      <c r="K148" s="90" t="s">
        <v>106997</v>
      </c>
      <c r="L148" s="91">
        <v>80111600</v>
      </c>
      <c r="M148" s="92" t="s">
        <v>113272</v>
      </c>
      <c r="N148" s="93">
        <v>45300</v>
      </c>
      <c r="O148" s="93" t="s">
        <v>113060</v>
      </c>
      <c r="P148" s="94"/>
      <c r="Q148" s="94" t="s">
        <v>113053</v>
      </c>
      <c r="R148" s="95">
        <v>0</v>
      </c>
      <c r="S148" s="96"/>
      <c r="T148" s="97"/>
      <c r="U148" s="98" t="s">
        <v>113054</v>
      </c>
    </row>
    <row r="149" spans="1:21" ht="30" x14ac:dyDescent="0.2">
      <c r="A149" s="310"/>
      <c r="B149" s="88"/>
      <c r="C149" s="89"/>
      <c r="D149" s="89"/>
      <c r="E149" s="89"/>
      <c r="F149" s="89"/>
      <c r="G149" s="89"/>
      <c r="H149" s="89"/>
      <c r="I149" s="89"/>
      <c r="J149" s="90"/>
      <c r="K149" s="90" t="s">
        <v>106997</v>
      </c>
      <c r="L149" s="91">
        <v>80111600</v>
      </c>
      <c r="M149" s="92" t="s">
        <v>113272</v>
      </c>
      <c r="N149" s="93">
        <v>45300</v>
      </c>
      <c r="O149" s="93" t="s">
        <v>113060</v>
      </c>
      <c r="P149" s="94" t="s">
        <v>113213</v>
      </c>
      <c r="Q149" s="94" t="s">
        <v>113053</v>
      </c>
      <c r="R149" s="95">
        <v>11900000</v>
      </c>
      <c r="S149" s="96"/>
      <c r="T149" s="97"/>
      <c r="U149" s="98" t="s">
        <v>113054</v>
      </c>
    </row>
    <row r="150" spans="1:21" ht="30" x14ac:dyDescent="0.2">
      <c r="A150" s="310"/>
      <c r="B150" s="88"/>
      <c r="C150" s="89"/>
      <c r="D150" s="89"/>
      <c r="E150" s="89"/>
      <c r="F150" s="89"/>
      <c r="G150" s="89"/>
      <c r="H150" s="89"/>
      <c r="I150" s="89"/>
      <c r="J150" s="90"/>
      <c r="K150" s="90" t="s">
        <v>106997</v>
      </c>
      <c r="L150" s="91">
        <v>80111600</v>
      </c>
      <c r="M150" s="102" t="s">
        <v>113272</v>
      </c>
      <c r="N150" s="93">
        <v>45300</v>
      </c>
      <c r="O150" s="93" t="s">
        <v>113060</v>
      </c>
      <c r="P150" s="94" t="s">
        <v>113213</v>
      </c>
      <c r="Q150" s="94" t="s">
        <v>113053</v>
      </c>
      <c r="R150" s="95">
        <v>11900000</v>
      </c>
      <c r="S150" s="96"/>
      <c r="T150" s="97"/>
      <c r="U150" s="98" t="s">
        <v>113054</v>
      </c>
    </row>
    <row r="151" spans="1:21" ht="30" x14ac:dyDescent="0.2">
      <c r="A151" s="310"/>
      <c r="B151" s="72" t="s">
        <v>105516</v>
      </c>
      <c r="C151" s="72" t="s">
        <v>105573</v>
      </c>
      <c r="D151" s="72" t="s">
        <v>105573</v>
      </c>
      <c r="E151" s="72" t="s">
        <v>105573</v>
      </c>
      <c r="F151" s="72" t="s">
        <v>105553</v>
      </c>
      <c r="G151" s="72" t="s">
        <v>105541</v>
      </c>
      <c r="H151" s="72"/>
      <c r="I151" s="72"/>
      <c r="J151" s="72"/>
      <c r="K151" s="73"/>
      <c r="L151" s="73"/>
      <c r="M151" s="74" t="s">
        <v>107040</v>
      </c>
      <c r="N151" s="75"/>
      <c r="O151" s="75"/>
      <c r="P151" s="76"/>
      <c r="Q151" s="76"/>
      <c r="R151" s="77">
        <f>+R152+R156</f>
        <v>41720000</v>
      </c>
      <c r="S151" s="78"/>
      <c r="T151" s="78"/>
      <c r="U151" s="79"/>
    </row>
    <row r="152" spans="1:21" x14ac:dyDescent="0.2">
      <c r="A152" s="310"/>
      <c r="B152" s="80" t="s">
        <v>105516</v>
      </c>
      <c r="C152" s="80" t="s">
        <v>105573</v>
      </c>
      <c r="D152" s="80" t="s">
        <v>105573</v>
      </c>
      <c r="E152" s="80" t="s">
        <v>105573</v>
      </c>
      <c r="F152" s="80" t="s">
        <v>105553</v>
      </c>
      <c r="G152" s="80" t="s">
        <v>105541</v>
      </c>
      <c r="H152" s="80" t="s">
        <v>105520</v>
      </c>
      <c r="I152" s="80"/>
      <c r="J152" s="80"/>
      <c r="K152" s="80"/>
      <c r="L152" s="80"/>
      <c r="M152" s="82" t="s">
        <v>107042</v>
      </c>
      <c r="N152" s="83"/>
      <c r="O152" s="83"/>
      <c r="P152" s="84"/>
      <c r="Q152" s="84"/>
      <c r="R152" s="85">
        <f>SUM(R153+R154+R155)</f>
        <v>33800000</v>
      </c>
      <c r="S152" s="86"/>
      <c r="T152" s="86"/>
      <c r="U152" s="101"/>
    </row>
    <row r="153" spans="1:21" x14ac:dyDescent="0.2">
      <c r="A153" s="310"/>
      <c r="B153" s="88"/>
      <c r="C153" s="89"/>
      <c r="D153" s="89"/>
      <c r="E153" s="89"/>
      <c r="F153" s="89"/>
      <c r="G153" s="89"/>
      <c r="H153" s="89"/>
      <c r="I153" s="89"/>
      <c r="J153" s="90"/>
      <c r="K153" s="90" t="s">
        <v>107039</v>
      </c>
      <c r="L153" s="55"/>
      <c r="M153" s="92" t="s">
        <v>113098</v>
      </c>
      <c r="N153" s="93">
        <v>45293</v>
      </c>
      <c r="O153" s="93" t="s">
        <v>113060</v>
      </c>
      <c r="P153" s="132" t="s">
        <v>113068</v>
      </c>
      <c r="Q153" s="94" t="s">
        <v>113031</v>
      </c>
      <c r="R153" s="95">
        <v>15000000</v>
      </c>
      <c r="S153" s="96"/>
      <c r="T153" s="129"/>
      <c r="U153" s="98" t="s">
        <v>113064</v>
      </c>
    </row>
    <row r="154" spans="1:21" x14ac:dyDescent="0.2">
      <c r="A154" s="310"/>
      <c r="B154" s="88"/>
      <c r="C154" s="89"/>
      <c r="D154" s="89"/>
      <c r="E154" s="89"/>
      <c r="F154" s="89"/>
      <c r="G154" s="89"/>
      <c r="H154" s="89"/>
      <c r="I154" s="89"/>
      <c r="J154" s="90"/>
      <c r="K154" s="90" t="s">
        <v>107039</v>
      </c>
      <c r="L154" s="55"/>
      <c r="M154" s="102" t="s">
        <v>113099</v>
      </c>
      <c r="N154" s="93">
        <v>45293</v>
      </c>
      <c r="O154" s="93" t="s">
        <v>113060</v>
      </c>
      <c r="P154" s="132" t="s">
        <v>113068</v>
      </c>
      <c r="Q154" s="94" t="s">
        <v>113031</v>
      </c>
      <c r="R154" s="95">
        <v>16800000</v>
      </c>
      <c r="S154" s="96"/>
      <c r="T154" s="97"/>
      <c r="U154" s="98" t="s">
        <v>113064</v>
      </c>
    </row>
    <row r="155" spans="1:21" x14ac:dyDescent="0.2">
      <c r="A155" s="310"/>
      <c r="B155" s="88"/>
      <c r="C155" s="89"/>
      <c r="D155" s="89"/>
      <c r="E155" s="89"/>
      <c r="F155" s="89"/>
      <c r="G155" s="89"/>
      <c r="H155" s="89"/>
      <c r="I155" s="89"/>
      <c r="J155" s="90"/>
      <c r="K155" s="90" t="s">
        <v>107039</v>
      </c>
      <c r="L155" s="55"/>
      <c r="M155" s="102" t="s">
        <v>113100</v>
      </c>
      <c r="N155" s="93" t="s">
        <v>113031</v>
      </c>
      <c r="O155" s="93" t="s">
        <v>113031</v>
      </c>
      <c r="P155" s="94" t="s">
        <v>113031</v>
      </c>
      <c r="Q155" s="94" t="s">
        <v>113031</v>
      </c>
      <c r="R155" s="95">
        <v>2000000</v>
      </c>
      <c r="S155" s="96"/>
      <c r="T155" s="129"/>
      <c r="U155" s="98" t="s">
        <v>113032</v>
      </c>
    </row>
    <row r="156" spans="1:21" x14ac:dyDescent="0.2">
      <c r="A156" s="310"/>
      <c r="B156" s="80" t="s">
        <v>105516</v>
      </c>
      <c r="C156" s="80" t="s">
        <v>105573</v>
      </c>
      <c r="D156" s="80" t="s">
        <v>105573</v>
      </c>
      <c r="E156" s="80" t="s">
        <v>105573</v>
      </c>
      <c r="F156" s="80" t="s">
        <v>105553</v>
      </c>
      <c r="G156" s="80" t="s">
        <v>105541</v>
      </c>
      <c r="H156" s="80" t="s">
        <v>105573</v>
      </c>
      <c r="I156" s="80"/>
      <c r="J156" s="80"/>
      <c r="K156" s="80"/>
      <c r="L156" s="80"/>
      <c r="M156" s="82" t="s">
        <v>107044</v>
      </c>
      <c r="N156" s="83"/>
      <c r="O156" s="83"/>
      <c r="P156" s="84"/>
      <c r="Q156" s="84"/>
      <c r="R156" s="85">
        <f>SUM(R157+R158)</f>
        <v>7920000</v>
      </c>
      <c r="S156" s="86"/>
      <c r="T156" s="86"/>
      <c r="U156" s="101"/>
    </row>
    <row r="157" spans="1:21" ht="45.75" customHeight="1" x14ac:dyDescent="0.2">
      <c r="A157" s="310"/>
      <c r="B157" s="319"/>
      <c r="C157" s="90"/>
      <c r="D157" s="90"/>
      <c r="E157" s="90"/>
      <c r="F157" s="90"/>
      <c r="G157" s="90"/>
      <c r="H157" s="90"/>
      <c r="I157" s="90"/>
      <c r="J157" s="90"/>
      <c r="K157" s="90" t="s">
        <v>107039</v>
      </c>
      <c r="L157" s="55">
        <v>81112100</v>
      </c>
      <c r="M157" s="92" t="s">
        <v>113273</v>
      </c>
      <c r="N157" s="93">
        <v>45414</v>
      </c>
      <c r="O157" s="93" t="s">
        <v>113208</v>
      </c>
      <c r="P157" s="94" t="s">
        <v>113002</v>
      </c>
      <c r="Q157" s="94" t="s">
        <v>113041</v>
      </c>
      <c r="R157" s="95">
        <v>4200000</v>
      </c>
      <c r="S157" s="96"/>
      <c r="T157" s="129"/>
      <c r="U157" s="98" t="s">
        <v>113003</v>
      </c>
    </row>
    <row r="158" spans="1:21" ht="45" customHeight="1" x14ac:dyDescent="0.2">
      <c r="A158" s="310"/>
      <c r="B158" s="319"/>
      <c r="C158" s="90"/>
      <c r="D158" s="90"/>
      <c r="E158" s="90"/>
      <c r="F158" s="90"/>
      <c r="G158" s="90"/>
      <c r="H158" s="90"/>
      <c r="I158" s="90"/>
      <c r="J158" s="90"/>
      <c r="K158" s="90" t="s">
        <v>107039</v>
      </c>
      <c r="L158" s="55">
        <v>81112100</v>
      </c>
      <c r="M158" s="102" t="s">
        <v>113101</v>
      </c>
      <c r="N158" s="93">
        <v>45422</v>
      </c>
      <c r="O158" s="93" t="s">
        <v>112997</v>
      </c>
      <c r="P158" s="132" t="s">
        <v>113068</v>
      </c>
      <c r="Q158" s="94" t="s">
        <v>113041</v>
      </c>
      <c r="R158" s="95">
        <v>3720000</v>
      </c>
      <c r="S158" s="96"/>
      <c r="T158" s="95"/>
      <c r="U158" s="98" t="s">
        <v>113003</v>
      </c>
    </row>
    <row r="159" spans="1:21" hidden="1" x14ac:dyDescent="0.2">
      <c r="A159" s="310"/>
      <c r="B159" s="72" t="s">
        <v>105516</v>
      </c>
      <c r="C159" s="72" t="s">
        <v>105573</v>
      </c>
      <c r="D159" s="72" t="s">
        <v>105573</v>
      </c>
      <c r="E159" s="72" t="s">
        <v>105573</v>
      </c>
      <c r="F159" s="72" t="s">
        <v>105553</v>
      </c>
      <c r="G159" s="143" t="s">
        <v>105544</v>
      </c>
      <c r="H159" s="72"/>
      <c r="I159" s="72"/>
      <c r="J159" s="72"/>
      <c r="K159" s="73"/>
      <c r="L159" s="73"/>
      <c r="M159" s="74" t="s">
        <v>107054</v>
      </c>
      <c r="N159" s="75"/>
      <c r="O159" s="75"/>
      <c r="P159" s="76"/>
      <c r="Q159" s="76"/>
      <c r="R159" s="77">
        <f>+R160</f>
        <v>0</v>
      </c>
      <c r="S159" s="78"/>
      <c r="T159" s="78"/>
      <c r="U159" s="79"/>
    </row>
    <row r="160" spans="1:21" hidden="1" x14ac:dyDescent="0.2">
      <c r="A160" s="310"/>
      <c r="B160" s="80" t="s">
        <v>105516</v>
      </c>
      <c r="C160" s="80" t="s">
        <v>105573</v>
      </c>
      <c r="D160" s="80" t="s">
        <v>105573</v>
      </c>
      <c r="E160" s="80" t="s">
        <v>105573</v>
      </c>
      <c r="F160" s="80" t="s">
        <v>105553</v>
      </c>
      <c r="G160" s="81" t="s">
        <v>105544</v>
      </c>
      <c r="H160" s="81" t="s">
        <v>106109</v>
      </c>
      <c r="I160" s="80"/>
      <c r="J160" s="80"/>
      <c r="K160" s="80"/>
      <c r="L160" s="80"/>
      <c r="M160" s="82" t="s">
        <v>107066</v>
      </c>
      <c r="N160" s="83"/>
      <c r="O160" s="83"/>
      <c r="P160" s="84"/>
      <c r="Q160" s="84"/>
      <c r="R160" s="85">
        <f>+R161</f>
        <v>0</v>
      </c>
      <c r="S160" s="86"/>
      <c r="T160" s="86"/>
      <c r="U160" s="101"/>
    </row>
    <row r="161" spans="1:21" hidden="1" x14ac:dyDescent="0.2">
      <c r="A161" s="310"/>
      <c r="B161" s="80" t="s">
        <v>105516</v>
      </c>
      <c r="C161" s="80" t="s">
        <v>105573</v>
      </c>
      <c r="D161" s="80" t="s">
        <v>105573</v>
      </c>
      <c r="E161" s="80" t="s">
        <v>105573</v>
      </c>
      <c r="F161" s="80" t="s">
        <v>105553</v>
      </c>
      <c r="G161" s="81" t="s">
        <v>105544</v>
      </c>
      <c r="H161" s="81" t="s">
        <v>106109</v>
      </c>
      <c r="I161" s="80">
        <v>3</v>
      </c>
      <c r="J161" s="80"/>
      <c r="K161" s="80"/>
      <c r="L161" s="80"/>
      <c r="M161" s="82" t="s">
        <v>113102</v>
      </c>
      <c r="N161" s="83"/>
      <c r="O161" s="83"/>
      <c r="P161" s="84"/>
      <c r="Q161" s="84"/>
      <c r="R161" s="85">
        <f>+R162</f>
        <v>0</v>
      </c>
      <c r="S161" s="86"/>
      <c r="T161" s="86"/>
      <c r="U161" s="101"/>
    </row>
    <row r="162" spans="1:21" ht="30" hidden="1" x14ac:dyDescent="0.2">
      <c r="A162" s="310"/>
      <c r="B162" s="88"/>
      <c r="C162" s="89"/>
      <c r="D162" s="89"/>
      <c r="E162" s="89"/>
      <c r="F162" s="89"/>
      <c r="G162" s="89"/>
      <c r="H162" s="89"/>
      <c r="I162" s="89"/>
      <c r="J162" s="90"/>
      <c r="K162" s="90" t="s">
        <v>107053</v>
      </c>
      <c r="L162" s="91" t="s">
        <v>113103</v>
      </c>
      <c r="M162" s="102" t="s">
        <v>113274</v>
      </c>
      <c r="N162" s="93">
        <v>45488</v>
      </c>
      <c r="O162" s="93" t="s">
        <v>113010</v>
      </c>
      <c r="P162" s="94" t="s">
        <v>113206</v>
      </c>
      <c r="Q162" s="94" t="s">
        <v>113104</v>
      </c>
      <c r="R162" s="313">
        <v>0</v>
      </c>
      <c r="S162" s="96"/>
      <c r="T162" s="129"/>
      <c r="U162" s="98" t="s">
        <v>113029</v>
      </c>
    </row>
    <row r="163" spans="1:21" ht="30" x14ac:dyDescent="0.2">
      <c r="A163" s="310"/>
      <c r="B163" s="72" t="s">
        <v>105516</v>
      </c>
      <c r="C163" s="72" t="s">
        <v>105573</v>
      </c>
      <c r="D163" s="72" t="s">
        <v>105573</v>
      </c>
      <c r="E163" s="72" t="s">
        <v>105573</v>
      </c>
      <c r="F163" s="72" t="s">
        <v>105553</v>
      </c>
      <c r="G163" s="72" t="s">
        <v>105550</v>
      </c>
      <c r="H163" s="72"/>
      <c r="I163" s="72"/>
      <c r="J163" s="72"/>
      <c r="K163" s="73"/>
      <c r="L163" s="73"/>
      <c r="M163" s="74" t="s">
        <v>107092</v>
      </c>
      <c r="N163" s="75"/>
      <c r="O163" s="75"/>
      <c r="P163" s="76"/>
      <c r="Q163" s="76"/>
      <c r="R163" s="77">
        <f>+R164</f>
        <v>116912000</v>
      </c>
      <c r="S163" s="78"/>
      <c r="T163" s="78"/>
      <c r="U163" s="79"/>
    </row>
    <row r="164" spans="1:21" ht="30" x14ac:dyDescent="0.2">
      <c r="A164" s="310"/>
      <c r="B164" s="80" t="s">
        <v>105516</v>
      </c>
      <c r="C164" s="80" t="s">
        <v>105573</v>
      </c>
      <c r="D164" s="80" t="s">
        <v>105573</v>
      </c>
      <c r="E164" s="80" t="s">
        <v>105573</v>
      </c>
      <c r="F164" s="80" t="s">
        <v>105553</v>
      </c>
      <c r="G164" s="80" t="s">
        <v>105550</v>
      </c>
      <c r="H164" s="80" t="s">
        <v>105520</v>
      </c>
      <c r="I164" s="80"/>
      <c r="J164" s="80"/>
      <c r="K164" s="80"/>
      <c r="L164" s="80"/>
      <c r="M164" s="82" t="s">
        <v>107094</v>
      </c>
      <c r="N164" s="83"/>
      <c r="O164" s="83"/>
      <c r="P164" s="84"/>
      <c r="Q164" s="84"/>
      <c r="R164" s="85">
        <f>+R165+R167+R171</f>
        <v>116912000</v>
      </c>
      <c r="S164" s="86"/>
      <c r="T164" s="86"/>
      <c r="U164" s="101"/>
    </row>
    <row r="165" spans="1:21" ht="30" hidden="1" x14ac:dyDescent="0.2">
      <c r="A165" s="310"/>
      <c r="B165" s="80" t="s">
        <v>105516</v>
      </c>
      <c r="C165" s="80" t="s">
        <v>105573</v>
      </c>
      <c r="D165" s="80" t="s">
        <v>105573</v>
      </c>
      <c r="E165" s="80" t="s">
        <v>105573</v>
      </c>
      <c r="F165" s="80" t="s">
        <v>105553</v>
      </c>
      <c r="G165" s="80" t="s">
        <v>105550</v>
      </c>
      <c r="H165" s="80" t="s">
        <v>105520</v>
      </c>
      <c r="I165" s="80" t="s">
        <v>106211</v>
      </c>
      <c r="J165" s="80"/>
      <c r="K165" s="80"/>
      <c r="L165" s="80"/>
      <c r="M165" s="82" t="s">
        <v>107100</v>
      </c>
      <c r="N165" s="83"/>
      <c r="O165" s="83"/>
      <c r="P165" s="84"/>
      <c r="Q165" s="84"/>
      <c r="R165" s="85">
        <f>+R166</f>
        <v>0</v>
      </c>
      <c r="S165" s="86"/>
      <c r="T165" s="86"/>
      <c r="U165" s="101"/>
    </row>
    <row r="166" spans="1:21" ht="60" hidden="1" x14ac:dyDescent="0.2">
      <c r="A166" s="310"/>
      <c r="B166" s="88"/>
      <c r="C166" s="89"/>
      <c r="D166" s="89"/>
      <c r="E166" s="89"/>
      <c r="F166" s="89"/>
      <c r="G166" s="89"/>
      <c r="H166" s="89"/>
      <c r="I166" s="89"/>
      <c r="J166" s="90"/>
      <c r="K166" s="90" t="s">
        <v>107091</v>
      </c>
      <c r="L166" s="91" t="s">
        <v>113105</v>
      </c>
      <c r="M166" s="92" t="s">
        <v>113106</v>
      </c>
      <c r="N166" s="93">
        <v>45374</v>
      </c>
      <c r="O166" s="93" t="s">
        <v>113087</v>
      </c>
      <c r="P166" s="94" t="s">
        <v>113002</v>
      </c>
      <c r="Q166" s="94" t="s">
        <v>113096</v>
      </c>
      <c r="R166" s="313">
        <v>0</v>
      </c>
      <c r="S166" s="96"/>
      <c r="T166" s="97"/>
      <c r="U166" s="98" t="s">
        <v>113003</v>
      </c>
    </row>
    <row r="167" spans="1:21" ht="30" x14ac:dyDescent="0.2">
      <c r="A167" s="310"/>
      <c r="B167" s="80" t="s">
        <v>105516</v>
      </c>
      <c r="C167" s="80" t="s">
        <v>105573</v>
      </c>
      <c r="D167" s="80" t="s">
        <v>105573</v>
      </c>
      <c r="E167" s="80" t="s">
        <v>105573</v>
      </c>
      <c r="F167" s="80" t="s">
        <v>105553</v>
      </c>
      <c r="G167" s="80" t="s">
        <v>105550</v>
      </c>
      <c r="H167" s="80" t="s">
        <v>105520</v>
      </c>
      <c r="I167" s="80" t="s">
        <v>106214</v>
      </c>
      <c r="J167" s="80"/>
      <c r="K167" s="80"/>
      <c r="L167" s="80"/>
      <c r="M167" s="82" t="s">
        <v>107102</v>
      </c>
      <c r="N167" s="83"/>
      <c r="O167" s="83"/>
      <c r="P167" s="84"/>
      <c r="Q167" s="84"/>
      <c r="R167" s="85">
        <f>SUM(R168:R170)</f>
        <v>83000000</v>
      </c>
      <c r="S167" s="86"/>
      <c r="T167" s="86"/>
      <c r="U167" s="101"/>
    </row>
    <row r="168" spans="1:21" ht="85.5" customHeight="1" x14ac:dyDescent="0.2">
      <c r="A168" s="310"/>
      <c r="B168" s="88"/>
      <c r="C168" s="89"/>
      <c r="D168" s="89"/>
      <c r="E168" s="89"/>
      <c r="F168" s="89"/>
      <c r="G168" s="89"/>
      <c r="H168" s="89"/>
      <c r="I168" s="89"/>
      <c r="J168" s="90"/>
      <c r="K168" s="90" t="s">
        <v>107091</v>
      </c>
      <c r="L168" s="91" t="s">
        <v>113275</v>
      </c>
      <c r="M168" s="92" t="s">
        <v>113109</v>
      </c>
      <c r="N168" s="93">
        <v>45313</v>
      </c>
      <c r="O168" s="93" t="s">
        <v>113037</v>
      </c>
      <c r="P168" s="94" t="s">
        <v>113011</v>
      </c>
      <c r="Q168" s="94" t="s">
        <v>113096</v>
      </c>
      <c r="R168" s="95">
        <v>50000000</v>
      </c>
      <c r="S168" s="96"/>
      <c r="T168" s="97"/>
      <c r="U168" s="98" t="s">
        <v>113035</v>
      </c>
    </row>
    <row r="169" spans="1:21" ht="45" x14ac:dyDescent="0.2">
      <c r="A169" s="310"/>
      <c r="B169" s="88"/>
      <c r="C169" s="89"/>
      <c r="D169" s="89"/>
      <c r="E169" s="89"/>
      <c r="F169" s="89"/>
      <c r="G169" s="89"/>
      <c r="H169" s="89"/>
      <c r="I169" s="89"/>
      <c r="J169" s="90"/>
      <c r="K169" s="90"/>
      <c r="L169" s="91" t="s">
        <v>113133</v>
      </c>
      <c r="M169" s="92" t="s">
        <v>113276</v>
      </c>
      <c r="N169" s="93"/>
      <c r="O169" s="93"/>
      <c r="P169" s="94"/>
      <c r="Q169" s="94"/>
      <c r="R169" s="95">
        <v>16500000</v>
      </c>
      <c r="S169" s="96"/>
      <c r="T169" s="97"/>
      <c r="U169" s="98" t="s">
        <v>113000</v>
      </c>
    </row>
    <row r="170" spans="1:21" ht="60" x14ac:dyDescent="0.2">
      <c r="A170" s="310"/>
      <c r="B170" s="88"/>
      <c r="C170" s="89"/>
      <c r="D170" s="89"/>
      <c r="E170" s="89"/>
      <c r="F170" s="89"/>
      <c r="G170" s="89"/>
      <c r="H170" s="89"/>
      <c r="I170" s="89"/>
      <c r="J170" s="90"/>
      <c r="K170" s="90"/>
      <c r="L170" s="91" t="s">
        <v>113133</v>
      </c>
      <c r="M170" s="92" t="s">
        <v>113277</v>
      </c>
      <c r="N170" s="93">
        <v>45397</v>
      </c>
      <c r="O170" s="93" t="s">
        <v>113087</v>
      </c>
      <c r="P170" s="94" t="s">
        <v>113207</v>
      </c>
      <c r="Q170" s="94" t="s">
        <v>113069</v>
      </c>
      <c r="R170" s="95">
        <v>16500000</v>
      </c>
      <c r="S170" s="96" t="s">
        <v>105533</v>
      </c>
      <c r="T170" s="320">
        <v>18150000</v>
      </c>
      <c r="U170" s="98" t="s">
        <v>113000</v>
      </c>
    </row>
    <row r="171" spans="1:21" ht="30" x14ac:dyDescent="0.2">
      <c r="A171" s="310"/>
      <c r="B171" s="80" t="s">
        <v>105516</v>
      </c>
      <c r="C171" s="80" t="s">
        <v>105573</v>
      </c>
      <c r="D171" s="80" t="s">
        <v>105573</v>
      </c>
      <c r="E171" s="80" t="s">
        <v>105573</v>
      </c>
      <c r="F171" s="80" t="s">
        <v>105553</v>
      </c>
      <c r="G171" s="80" t="s">
        <v>105550</v>
      </c>
      <c r="H171" s="80" t="s">
        <v>105520</v>
      </c>
      <c r="I171" s="80" t="s">
        <v>106217</v>
      </c>
      <c r="J171" s="80"/>
      <c r="K171" s="80"/>
      <c r="L171" s="80"/>
      <c r="M171" s="82" t="s">
        <v>107104</v>
      </c>
      <c r="N171" s="83"/>
      <c r="O171" s="83"/>
      <c r="P171" s="84"/>
      <c r="Q171" s="84"/>
      <c r="R171" s="85">
        <f>SUM(R172:R175)</f>
        <v>33912000</v>
      </c>
      <c r="S171" s="86"/>
      <c r="T171" s="86"/>
      <c r="U171" s="101"/>
    </row>
    <row r="172" spans="1:21" ht="75" x14ac:dyDescent="0.2">
      <c r="A172" s="310"/>
      <c r="B172" s="88"/>
      <c r="C172" s="89"/>
      <c r="D172" s="89"/>
      <c r="E172" s="89"/>
      <c r="F172" s="89"/>
      <c r="G172" s="89"/>
      <c r="H172" s="89"/>
      <c r="I172" s="89"/>
      <c r="J172" s="90"/>
      <c r="K172" s="90" t="s">
        <v>107091</v>
      </c>
      <c r="L172" s="91">
        <v>72154100</v>
      </c>
      <c r="M172" s="92" t="s">
        <v>113278</v>
      </c>
      <c r="N172" s="93"/>
      <c r="O172" s="93"/>
      <c r="P172" s="94"/>
      <c r="Q172" s="93"/>
      <c r="R172" s="95">
        <v>10956000</v>
      </c>
      <c r="S172" s="96"/>
      <c r="T172" s="97"/>
      <c r="U172" s="98" t="s">
        <v>113000</v>
      </c>
    </row>
    <row r="173" spans="1:21" ht="45" hidden="1" x14ac:dyDescent="0.2">
      <c r="A173" s="310"/>
      <c r="B173" s="138"/>
      <c r="C173" s="139"/>
      <c r="D173" s="139"/>
      <c r="E173" s="139"/>
      <c r="F173" s="139"/>
      <c r="G173" s="139"/>
      <c r="H173" s="139"/>
      <c r="I173" s="139"/>
      <c r="J173" s="140"/>
      <c r="K173" s="90" t="s">
        <v>107091</v>
      </c>
      <c r="L173" s="91" t="s">
        <v>113111</v>
      </c>
      <c r="M173" s="92" t="s">
        <v>113112</v>
      </c>
      <c r="N173" s="93">
        <v>45413</v>
      </c>
      <c r="O173" s="93" t="s">
        <v>113208</v>
      </c>
      <c r="P173" s="132" t="s">
        <v>113007</v>
      </c>
      <c r="Q173" s="93" t="s">
        <v>113052</v>
      </c>
      <c r="R173" s="95">
        <v>0</v>
      </c>
      <c r="S173" s="96"/>
      <c r="T173" s="144"/>
      <c r="U173" s="98" t="s">
        <v>113000</v>
      </c>
    </row>
    <row r="174" spans="1:21" ht="75" x14ac:dyDescent="0.2">
      <c r="A174" s="310"/>
      <c r="B174" s="138"/>
      <c r="C174" s="139"/>
      <c r="D174" s="139"/>
      <c r="E174" s="139"/>
      <c r="F174" s="139"/>
      <c r="G174" s="139"/>
      <c r="H174" s="139"/>
      <c r="I174" s="139"/>
      <c r="J174" s="140"/>
      <c r="K174" s="140" t="s">
        <v>107091</v>
      </c>
      <c r="L174" s="91">
        <v>72154100</v>
      </c>
      <c r="M174" s="92" t="s">
        <v>113110</v>
      </c>
      <c r="N174" s="93">
        <v>45397</v>
      </c>
      <c r="O174" s="93" t="s">
        <v>113087</v>
      </c>
      <c r="P174" s="94" t="s">
        <v>113207</v>
      </c>
      <c r="Q174" s="94" t="s">
        <v>113069</v>
      </c>
      <c r="R174" s="95">
        <v>10956000</v>
      </c>
      <c r="S174" s="96" t="s">
        <v>105533</v>
      </c>
      <c r="T174" s="320">
        <v>12051600</v>
      </c>
      <c r="U174" s="98" t="s">
        <v>113000</v>
      </c>
    </row>
    <row r="175" spans="1:21" ht="15" customHeight="1" x14ac:dyDescent="0.2">
      <c r="A175" s="310"/>
      <c r="B175" s="138"/>
      <c r="C175" s="139"/>
      <c r="D175" s="139"/>
      <c r="E175" s="139"/>
      <c r="F175" s="139"/>
      <c r="G175" s="139"/>
      <c r="H175" s="139"/>
      <c r="I175" s="139"/>
      <c r="J175" s="140"/>
      <c r="K175" s="140" t="s">
        <v>107091</v>
      </c>
      <c r="L175" s="127"/>
      <c r="M175" s="120" t="s">
        <v>113114</v>
      </c>
      <c r="N175" s="121" t="s">
        <v>113031</v>
      </c>
      <c r="O175" s="121" t="s">
        <v>113031</v>
      </c>
      <c r="P175" s="121" t="s">
        <v>113031</v>
      </c>
      <c r="Q175" s="121" t="s">
        <v>113031</v>
      </c>
      <c r="R175" s="95">
        <v>12000000</v>
      </c>
      <c r="S175" s="92"/>
      <c r="T175" s="99"/>
      <c r="U175" s="98" t="s">
        <v>113032</v>
      </c>
    </row>
    <row r="176" spans="1:21" x14ac:dyDescent="0.2">
      <c r="A176" s="310"/>
      <c r="B176" s="63" t="s">
        <v>105516</v>
      </c>
      <c r="C176" s="63" t="s">
        <v>105573</v>
      </c>
      <c r="D176" s="63" t="s">
        <v>105573</v>
      </c>
      <c r="E176" s="63" t="s">
        <v>105573</v>
      </c>
      <c r="F176" s="63" t="s">
        <v>105556</v>
      </c>
      <c r="G176" s="63"/>
      <c r="H176" s="63"/>
      <c r="I176" s="63"/>
      <c r="J176" s="63"/>
      <c r="K176" s="64"/>
      <c r="L176" s="65"/>
      <c r="M176" s="66" t="s">
        <v>107164</v>
      </c>
      <c r="N176" s="67"/>
      <c r="O176" s="67"/>
      <c r="P176" s="68"/>
      <c r="Q176" s="68"/>
      <c r="R176" s="69">
        <f>+R177+R181+R184+R188</f>
        <v>356000000</v>
      </c>
      <c r="S176" s="70"/>
      <c r="T176" s="70"/>
      <c r="U176" s="71"/>
    </row>
    <row r="177" spans="1:21" x14ac:dyDescent="0.2">
      <c r="A177" s="310"/>
      <c r="B177" s="72" t="s">
        <v>105516</v>
      </c>
      <c r="C177" s="72" t="s">
        <v>105573</v>
      </c>
      <c r="D177" s="72" t="s">
        <v>105573</v>
      </c>
      <c r="E177" s="72" t="s">
        <v>105573</v>
      </c>
      <c r="F177" s="72" t="s">
        <v>105556</v>
      </c>
      <c r="G177" s="72" t="s">
        <v>105535</v>
      </c>
      <c r="H177" s="72"/>
      <c r="I177" s="72"/>
      <c r="J177" s="72"/>
      <c r="K177" s="73"/>
      <c r="L177" s="73"/>
      <c r="M177" s="74" t="s">
        <v>107166</v>
      </c>
      <c r="N177" s="75"/>
      <c r="O177" s="75"/>
      <c r="P177" s="76"/>
      <c r="Q177" s="76"/>
      <c r="R177" s="77">
        <f>+R178</f>
        <v>70000000</v>
      </c>
      <c r="S177" s="78"/>
      <c r="T177" s="78"/>
      <c r="U177" s="79"/>
    </row>
    <row r="178" spans="1:21" x14ac:dyDescent="0.2">
      <c r="A178" s="310"/>
      <c r="B178" s="80" t="s">
        <v>105516</v>
      </c>
      <c r="C178" s="80" t="s">
        <v>105573</v>
      </c>
      <c r="D178" s="80" t="s">
        <v>105573</v>
      </c>
      <c r="E178" s="80" t="s">
        <v>105573</v>
      </c>
      <c r="F178" s="80" t="s">
        <v>105556</v>
      </c>
      <c r="G178" s="80" t="s">
        <v>105535</v>
      </c>
      <c r="H178" s="80" t="s">
        <v>106109</v>
      </c>
      <c r="I178" s="80"/>
      <c r="J178" s="80"/>
      <c r="K178" s="80"/>
      <c r="L178" s="80"/>
      <c r="M178" s="82" t="s">
        <v>107178</v>
      </c>
      <c r="N178" s="83"/>
      <c r="O178" s="83"/>
      <c r="P178" s="84"/>
      <c r="Q178" s="84"/>
      <c r="R178" s="85">
        <f>SUM(R179+R180)</f>
        <v>70000000</v>
      </c>
      <c r="S178" s="86"/>
      <c r="T178" s="86"/>
      <c r="U178" s="101"/>
    </row>
    <row r="179" spans="1:21" ht="30" x14ac:dyDescent="0.2">
      <c r="A179" s="310"/>
      <c r="B179" s="88"/>
      <c r="C179" s="89"/>
      <c r="D179" s="89"/>
      <c r="E179" s="89"/>
      <c r="F179" s="89"/>
      <c r="G179" s="89"/>
      <c r="H179" s="89"/>
      <c r="I179" s="89"/>
      <c r="J179" s="90"/>
      <c r="K179" s="90" t="s">
        <v>107165</v>
      </c>
      <c r="L179" s="91" t="s">
        <v>113115</v>
      </c>
      <c r="M179" s="92" t="s">
        <v>113116</v>
      </c>
      <c r="N179" s="93">
        <v>45347</v>
      </c>
      <c r="O179" s="93" t="s">
        <v>113001</v>
      </c>
      <c r="P179" s="94" t="s">
        <v>113004</v>
      </c>
      <c r="Q179" s="94" t="s">
        <v>113053</v>
      </c>
      <c r="R179" s="95">
        <v>50000000</v>
      </c>
      <c r="S179" s="96"/>
      <c r="T179" s="97"/>
      <c r="U179" s="98" t="s">
        <v>113012</v>
      </c>
    </row>
    <row r="180" spans="1:21" ht="30" x14ac:dyDescent="0.2">
      <c r="A180" s="310"/>
      <c r="B180" s="88"/>
      <c r="C180" s="89"/>
      <c r="D180" s="89"/>
      <c r="E180" s="89"/>
      <c r="F180" s="89"/>
      <c r="G180" s="89"/>
      <c r="H180" s="89"/>
      <c r="I180" s="89"/>
      <c r="J180" s="90"/>
      <c r="K180" s="90" t="s">
        <v>107165</v>
      </c>
      <c r="L180" s="55"/>
      <c r="M180" s="92" t="s">
        <v>113117</v>
      </c>
      <c r="N180" s="93">
        <v>45321</v>
      </c>
      <c r="O180" s="94" t="s">
        <v>113031</v>
      </c>
      <c r="P180" s="94" t="s">
        <v>113031</v>
      </c>
      <c r="Q180" s="94" t="s">
        <v>113031</v>
      </c>
      <c r="R180" s="95">
        <v>20000000</v>
      </c>
      <c r="S180" s="96"/>
      <c r="T180" s="97"/>
      <c r="U180" s="98" t="s">
        <v>113012</v>
      </c>
    </row>
    <row r="181" spans="1:21" ht="30" x14ac:dyDescent="0.2">
      <c r="A181" s="310"/>
      <c r="B181" s="72" t="s">
        <v>105516</v>
      </c>
      <c r="C181" s="72" t="s">
        <v>105573</v>
      </c>
      <c r="D181" s="72" t="s">
        <v>105573</v>
      </c>
      <c r="E181" s="72" t="s">
        <v>105573</v>
      </c>
      <c r="F181" s="72" t="s">
        <v>105556</v>
      </c>
      <c r="G181" s="72" t="s">
        <v>105538</v>
      </c>
      <c r="H181" s="72"/>
      <c r="I181" s="72"/>
      <c r="J181" s="72"/>
      <c r="K181" s="73"/>
      <c r="L181" s="73"/>
      <c r="M181" s="74" t="s">
        <v>107180</v>
      </c>
      <c r="N181" s="75"/>
      <c r="O181" s="75"/>
      <c r="P181" s="76"/>
      <c r="Q181" s="76"/>
      <c r="R181" s="77">
        <f>+R182</f>
        <v>35000000</v>
      </c>
      <c r="S181" s="78"/>
      <c r="T181" s="78"/>
      <c r="U181" s="79"/>
    </row>
    <row r="182" spans="1:21" x14ac:dyDescent="0.2">
      <c r="A182" s="310"/>
      <c r="B182" s="80" t="s">
        <v>105516</v>
      </c>
      <c r="C182" s="80" t="s">
        <v>105573</v>
      </c>
      <c r="D182" s="80" t="s">
        <v>105573</v>
      </c>
      <c r="E182" s="80" t="s">
        <v>105573</v>
      </c>
      <c r="F182" s="80" t="s">
        <v>105556</v>
      </c>
      <c r="G182" s="80" t="s">
        <v>105538</v>
      </c>
      <c r="H182" s="80" t="s">
        <v>105520</v>
      </c>
      <c r="I182" s="80"/>
      <c r="J182" s="80"/>
      <c r="K182" s="80"/>
      <c r="L182" s="80"/>
      <c r="M182" s="82" t="s">
        <v>107182</v>
      </c>
      <c r="N182" s="83"/>
      <c r="O182" s="83"/>
      <c r="P182" s="84"/>
      <c r="Q182" s="84"/>
      <c r="R182" s="85">
        <f>+R183</f>
        <v>35000000</v>
      </c>
      <c r="S182" s="86"/>
      <c r="T182" s="86"/>
      <c r="U182" s="101"/>
    </row>
    <row r="183" spans="1:21" ht="44.25" customHeight="1" x14ac:dyDescent="0.2">
      <c r="A183" s="310"/>
      <c r="B183" s="88"/>
      <c r="C183" s="89"/>
      <c r="D183" s="89"/>
      <c r="E183" s="89"/>
      <c r="F183" s="89"/>
      <c r="G183" s="89"/>
      <c r="H183" s="89"/>
      <c r="I183" s="89"/>
      <c r="J183" s="90"/>
      <c r="K183" s="90" t="s">
        <v>107179</v>
      </c>
      <c r="L183" s="91" t="s">
        <v>113279</v>
      </c>
      <c r="M183" s="92" t="s">
        <v>113118</v>
      </c>
      <c r="N183" s="93">
        <v>45337</v>
      </c>
      <c r="O183" s="93" t="s">
        <v>113037</v>
      </c>
      <c r="P183" s="94" t="s">
        <v>113004</v>
      </c>
      <c r="Q183" s="132" t="s">
        <v>113113</v>
      </c>
      <c r="R183" s="95">
        <v>35000000</v>
      </c>
      <c r="S183" s="96"/>
      <c r="T183" s="97"/>
      <c r="U183" s="98" t="s">
        <v>113019</v>
      </c>
    </row>
    <row r="184" spans="1:21" ht="45" x14ac:dyDescent="0.2">
      <c r="A184" s="310"/>
      <c r="B184" s="72" t="s">
        <v>105516</v>
      </c>
      <c r="C184" s="72" t="s">
        <v>105573</v>
      </c>
      <c r="D184" s="72" t="s">
        <v>105573</v>
      </c>
      <c r="E184" s="72" t="s">
        <v>105573</v>
      </c>
      <c r="F184" s="72" t="s">
        <v>105556</v>
      </c>
      <c r="G184" s="72" t="s">
        <v>105541</v>
      </c>
      <c r="H184" s="72"/>
      <c r="I184" s="72"/>
      <c r="J184" s="72"/>
      <c r="K184" s="73"/>
      <c r="L184" s="73"/>
      <c r="M184" s="74" t="s">
        <v>107192</v>
      </c>
      <c r="N184" s="75"/>
      <c r="O184" s="75"/>
      <c r="P184" s="76"/>
      <c r="Q184" s="76"/>
      <c r="R184" s="77">
        <f>+R185</f>
        <v>251000000</v>
      </c>
      <c r="S184" s="78"/>
      <c r="T184" s="78"/>
      <c r="U184" s="79"/>
    </row>
    <row r="185" spans="1:21" ht="30" x14ac:dyDescent="0.2">
      <c r="A185" s="310"/>
      <c r="B185" s="80" t="s">
        <v>105516</v>
      </c>
      <c r="C185" s="80" t="s">
        <v>105573</v>
      </c>
      <c r="D185" s="80" t="s">
        <v>105573</v>
      </c>
      <c r="E185" s="80" t="s">
        <v>105573</v>
      </c>
      <c r="F185" s="80" t="s">
        <v>105556</v>
      </c>
      <c r="G185" s="80" t="s">
        <v>105541</v>
      </c>
      <c r="H185" s="80" t="s">
        <v>105520</v>
      </c>
      <c r="I185" s="80"/>
      <c r="J185" s="80"/>
      <c r="K185" s="80"/>
      <c r="L185" s="80"/>
      <c r="M185" s="82" t="s">
        <v>107194</v>
      </c>
      <c r="N185" s="110"/>
      <c r="O185" s="110"/>
      <c r="P185" s="84"/>
      <c r="Q185" s="84"/>
      <c r="R185" s="112">
        <f>SUM(R186+R187)</f>
        <v>251000000</v>
      </c>
      <c r="S185" s="113"/>
      <c r="T185" s="113"/>
      <c r="U185" s="101"/>
    </row>
    <row r="186" spans="1:21" x14ac:dyDescent="0.2">
      <c r="A186" s="310"/>
      <c r="B186" s="88"/>
      <c r="C186" s="89"/>
      <c r="D186" s="89"/>
      <c r="E186" s="89"/>
      <c r="F186" s="89"/>
      <c r="G186" s="89"/>
      <c r="H186" s="89"/>
      <c r="I186" s="89"/>
      <c r="J186" s="90"/>
      <c r="K186" s="90" t="s">
        <v>107191</v>
      </c>
      <c r="L186" s="91"/>
      <c r="M186" s="102" t="s">
        <v>113121</v>
      </c>
      <c r="N186" s="93">
        <v>45293</v>
      </c>
      <c r="O186" s="93" t="s">
        <v>113060</v>
      </c>
      <c r="P186" s="94" t="s">
        <v>113068</v>
      </c>
      <c r="Q186" s="94"/>
      <c r="R186" s="95">
        <v>231000000</v>
      </c>
      <c r="S186" s="96"/>
      <c r="T186" s="129"/>
      <c r="U186" s="92" t="s">
        <v>113064</v>
      </c>
    </row>
    <row r="187" spans="1:21" ht="45" x14ac:dyDescent="0.2">
      <c r="A187" s="310"/>
      <c r="B187" s="88"/>
      <c r="C187" s="89"/>
      <c r="D187" s="89"/>
      <c r="E187" s="89"/>
      <c r="F187" s="89"/>
      <c r="G187" s="89"/>
      <c r="H187" s="89"/>
      <c r="I187" s="89"/>
      <c r="J187" s="90"/>
      <c r="K187" s="90" t="s">
        <v>107191</v>
      </c>
      <c r="L187" s="91" t="s">
        <v>113119</v>
      </c>
      <c r="M187" s="102" t="s">
        <v>113120</v>
      </c>
      <c r="N187" s="93">
        <v>45350</v>
      </c>
      <c r="O187" s="93" t="s">
        <v>113037</v>
      </c>
      <c r="P187" s="132" t="s">
        <v>113004</v>
      </c>
      <c r="Q187" s="94" t="s">
        <v>113052</v>
      </c>
      <c r="R187" s="95">
        <v>20000000</v>
      </c>
      <c r="S187" s="126"/>
      <c r="T187" s="129"/>
      <c r="U187" s="92" t="s">
        <v>113000</v>
      </c>
    </row>
    <row r="188" spans="1:21" hidden="1" x14ac:dyDescent="0.2">
      <c r="A188" s="310"/>
      <c r="B188" s="72" t="s">
        <v>105516</v>
      </c>
      <c r="C188" s="72" t="s">
        <v>105573</v>
      </c>
      <c r="D188" s="72" t="s">
        <v>105573</v>
      </c>
      <c r="E188" s="72" t="s">
        <v>105573</v>
      </c>
      <c r="F188" s="72" t="s">
        <v>105556</v>
      </c>
      <c r="G188" s="72" t="s">
        <v>105547</v>
      </c>
      <c r="H188" s="72"/>
      <c r="I188" s="72"/>
      <c r="J188" s="72"/>
      <c r="K188" s="73"/>
      <c r="L188" s="73"/>
      <c r="M188" s="74" t="s">
        <v>107214</v>
      </c>
      <c r="N188" s="75"/>
      <c r="O188" s="75"/>
      <c r="P188" s="76"/>
      <c r="Q188" s="76"/>
      <c r="R188" s="77">
        <f>+R189</f>
        <v>0</v>
      </c>
      <c r="S188" s="78"/>
      <c r="T188" s="78"/>
      <c r="U188" s="79"/>
    </row>
    <row r="189" spans="1:21" hidden="1" x14ac:dyDescent="0.2">
      <c r="A189" s="310"/>
      <c r="B189" s="80" t="s">
        <v>105516</v>
      </c>
      <c r="C189" s="80" t="s">
        <v>105573</v>
      </c>
      <c r="D189" s="80" t="s">
        <v>105573</v>
      </c>
      <c r="E189" s="80" t="s">
        <v>105573</v>
      </c>
      <c r="F189" s="80" t="s">
        <v>105556</v>
      </c>
      <c r="G189" s="80" t="s">
        <v>105547</v>
      </c>
      <c r="H189" s="80" t="s">
        <v>106109</v>
      </c>
      <c r="I189" s="80"/>
      <c r="J189" s="80"/>
      <c r="K189" s="80"/>
      <c r="L189" s="80"/>
      <c r="M189" s="82" t="s">
        <v>107228</v>
      </c>
      <c r="N189" s="83"/>
      <c r="O189" s="83"/>
      <c r="P189" s="84"/>
      <c r="Q189" s="84"/>
      <c r="R189" s="85">
        <f>+R190</f>
        <v>0</v>
      </c>
      <c r="S189" s="86"/>
      <c r="T189" s="86"/>
      <c r="U189" s="101"/>
    </row>
    <row r="190" spans="1:21" ht="30" hidden="1" x14ac:dyDescent="0.2">
      <c r="A190" s="310"/>
      <c r="B190" s="88"/>
      <c r="C190" s="89"/>
      <c r="D190" s="89"/>
      <c r="E190" s="89"/>
      <c r="F190" s="89"/>
      <c r="G190" s="89"/>
      <c r="H190" s="89"/>
      <c r="I190" s="89"/>
      <c r="J190" s="90"/>
      <c r="K190" s="90" t="s">
        <v>107213</v>
      </c>
      <c r="L190" s="55">
        <v>93141500</v>
      </c>
      <c r="M190" s="92" t="s">
        <v>113122</v>
      </c>
      <c r="N190" s="93">
        <v>45580</v>
      </c>
      <c r="O190" s="93" t="s">
        <v>113123</v>
      </c>
      <c r="P190" s="94" t="s">
        <v>113045</v>
      </c>
      <c r="Q190" s="94" t="s">
        <v>113095</v>
      </c>
      <c r="R190" s="313">
        <v>0</v>
      </c>
      <c r="S190" s="96"/>
      <c r="T190" s="97"/>
      <c r="U190" s="98" t="s">
        <v>113012</v>
      </c>
    </row>
    <row r="191" spans="1:21" x14ac:dyDescent="0.2">
      <c r="A191" s="310"/>
      <c r="B191" s="72" t="s">
        <v>105516</v>
      </c>
      <c r="C191" s="72" t="s">
        <v>105573</v>
      </c>
      <c r="D191" s="72" t="s">
        <v>105573</v>
      </c>
      <c r="E191" s="72" t="s">
        <v>105573</v>
      </c>
      <c r="F191" s="72" t="s">
        <v>105559</v>
      </c>
      <c r="G191" s="72"/>
      <c r="H191" s="72"/>
      <c r="I191" s="72"/>
      <c r="J191" s="72"/>
      <c r="K191" s="73"/>
      <c r="L191" s="73"/>
      <c r="M191" s="74" t="s">
        <v>105564</v>
      </c>
      <c r="N191" s="75"/>
      <c r="O191" s="75"/>
      <c r="P191" s="76"/>
      <c r="Q191" s="76"/>
      <c r="R191" s="77">
        <f>+R192</f>
        <v>50000000</v>
      </c>
      <c r="S191" s="78"/>
      <c r="T191" s="78"/>
      <c r="U191" s="79"/>
    </row>
    <row r="192" spans="1:21" x14ac:dyDescent="0.2">
      <c r="A192" s="310"/>
      <c r="B192" s="88"/>
      <c r="C192" s="89"/>
      <c r="D192" s="89"/>
      <c r="E192" s="89"/>
      <c r="F192" s="89"/>
      <c r="G192" s="89"/>
      <c r="H192" s="89"/>
      <c r="I192" s="89"/>
      <c r="J192" s="90"/>
      <c r="K192" s="90" t="s">
        <v>107241</v>
      </c>
      <c r="L192" s="55"/>
      <c r="M192" s="102" t="s">
        <v>105564</v>
      </c>
      <c r="N192" s="93" t="s">
        <v>113031</v>
      </c>
      <c r="O192" s="93" t="s">
        <v>113031</v>
      </c>
      <c r="P192" s="94" t="s">
        <v>113031</v>
      </c>
      <c r="Q192" s="94" t="s">
        <v>113031</v>
      </c>
      <c r="R192" s="95">
        <v>50000000</v>
      </c>
      <c r="S192" s="96"/>
      <c r="T192" s="97"/>
      <c r="U192" s="98" t="s">
        <v>113012</v>
      </c>
    </row>
    <row r="193" spans="1:21" ht="15.75" x14ac:dyDescent="0.2">
      <c r="A193" s="310"/>
      <c r="B193" s="145" t="s">
        <v>105516</v>
      </c>
      <c r="C193" s="145" t="s">
        <v>105924</v>
      </c>
      <c r="D193" s="145"/>
      <c r="E193" s="145"/>
      <c r="F193" s="145"/>
      <c r="G193" s="145"/>
      <c r="H193" s="145"/>
      <c r="I193" s="145"/>
      <c r="J193" s="145"/>
      <c r="K193" s="146"/>
      <c r="L193" s="146"/>
      <c r="M193" s="147" t="s">
        <v>112080</v>
      </c>
      <c r="N193" s="148"/>
      <c r="O193" s="148"/>
      <c r="P193" s="149"/>
      <c r="Q193" s="149"/>
      <c r="R193" s="150">
        <f>+R194</f>
        <v>11896000000</v>
      </c>
      <c r="S193" s="151">
        <v>11896000000</v>
      </c>
      <c r="T193" s="151">
        <f>+R193-S193</f>
        <v>0</v>
      </c>
      <c r="U193" s="152"/>
    </row>
    <row r="194" spans="1:21" ht="15.75" x14ac:dyDescent="0.2">
      <c r="A194" s="310"/>
      <c r="B194" s="153" t="s">
        <v>105516</v>
      </c>
      <c r="C194" s="153" t="s">
        <v>105924</v>
      </c>
      <c r="D194" s="153" t="s">
        <v>105520</v>
      </c>
      <c r="E194" s="153"/>
      <c r="F194" s="153"/>
      <c r="G194" s="153"/>
      <c r="H194" s="153"/>
      <c r="I194" s="153"/>
      <c r="J194" s="153"/>
      <c r="K194" s="154"/>
      <c r="L194" s="155"/>
      <c r="M194" s="156" t="s">
        <v>112080</v>
      </c>
      <c r="N194" s="157"/>
      <c r="O194" s="157"/>
      <c r="P194" s="158"/>
      <c r="Q194" s="158"/>
      <c r="R194" s="159">
        <f>+R195+R221</f>
        <v>11896000000</v>
      </c>
      <c r="S194" s="160"/>
      <c r="T194" s="160"/>
      <c r="U194" s="161"/>
    </row>
    <row r="195" spans="1:21" ht="15.75" x14ac:dyDescent="0.2">
      <c r="A195" s="310"/>
      <c r="B195" s="162" t="s">
        <v>105516</v>
      </c>
      <c r="C195" s="162" t="s">
        <v>105924</v>
      </c>
      <c r="D195" s="162" t="s">
        <v>105520</v>
      </c>
      <c r="E195" s="162" t="s">
        <v>105520</v>
      </c>
      <c r="F195" s="162"/>
      <c r="G195" s="162"/>
      <c r="H195" s="162"/>
      <c r="I195" s="162"/>
      <c r="J195" s="162"/>
      <c r="K195" s="163"/>
      <c r="L195" s="163"/>
      <c r="M195" s="164" t="s">
        <v>106437</v>
      </c>
      <c r="N195" s="165"/>
      <c r="O195" s="165"/>
      <c r="P195" s="166"/>
      <c r="Q195" s="166"/>
      <c r="R195" s="167">
        <f>+R196+R216</f>
        <v>705000000</v>
      </c>
      <c r="S195" s="168"/>
      <c r="T195" s="168"/>
      <c r="U195" s="169"/>
    </row>
    <row r="196" spans="1:21" ht="30" x14ac:dyDescent="0.2">
      <c r="A196" s="310"/>
      <c r="B196" s="63" t="s">
        <v>105516</v>
      </c>
      <c r="C196" s="63" t="s">
        <v>105924</v>
      </c>
      <c r="D196" s="63" t="s">
        <v>105520</v>
      </c>
      <c r="E196" s="63" t="s">
        <v>105520</v>
      </c>
      <c r="F196" s="63" t="s">
        <v>105538</v>
      </c>
      <c r="G196" s="63"/>
      <c r="H196" s="63"/>
      <c r="I196" s="63"/>
      <c r="J196" s="63"/>
      <c r="K196" s="64"/>
      <c r="L196" s="65"/>
      <c r="M196" s="66" t="s">
        <v>106589</v>
      </c>
      <c r="N196" s="67"/>
      <c r="O196" s="67"/>
      <c r="P196" s="68"/>
      <c r="Q196" s="68"/>
      <c r="R196" s="69">
        <f>+R197+R200+R203+R207+R213</f>
        <v>660000000</v>
      </c>
      <c r="S196" s="70"/>
      <c r="T196" s="70"/>
      <c r="U196" s="71"/>
    </row>
    <row r="197" spans="1:21" ht="30" x14ac:dyDescent="0.2">
      <c r="A197" s="310"/>
      <c r="B197" s="170" t="s">
        <v>105516</v>
      </c>
      <c r="C197" s="170" t="s">
        <v>105924</v>
      </c>
      <c r="D197" s="170" t="s">
        <v>105520</v>
      </c>
      <c r="E197" s="170" t="s">
        <v>105520</v>
      </c>
      <c r="F197" s="170" t="s">
        <v>105538</v>
      </c>
      <c r="G197" s="170" t="s">
        <v>105535</v>
      </c>
      <c r="H197" s="170"/>
      <c r="I197" s="170"/>
      <c r="J197" s="170"/>
      <c r="K197" s="171"/>
      <c r="L197" s="171"/>
      <c r="M197" s="172" t="s">
        <v>106593</v>
      </c>
      <c r="N197" s="173"/>
      <c r="O197" s="173"/>
      <c r="P197" s="174"/>
      <c r="Q197" s="174"/>
      <c r="R197" s="175">
        <f>+R198</f>
        <v>25000000</v>
      </c>
      <c r="S197" s="176"/>
      <c r="T197" s="176"/>
      <c r="U197" s="177"/>
    </row>
    <row r="198" spans="1:21" x14ac:dyDescent="0.2">
      <c r="A198" s="310"/>
      <c r="B198" s="80" t="s">
        <v>105516</v>
      </c>
      <c r="C198" s="80" t="s">
        <v>105924</v>
      </c>
      <c r="D198" s="80" t="s">
        <v>105520</v>
      </c>
      <c r="E198" s="80" t="s">
        <v>105520</v>
      </c>
      <c r="F198" s="81" t="s">
        <v>105538</v>
      </c>
      <c r="G198" s="81" t="s">
        <v>105535</v>
      </c>
      <c r="H198" s="81" t="s">
        <v>105520</v>
      </c>
      <c r="I198" s="80"/>
      <c r="J198" s="80"/>
      <c r="K198" s="80"/>
      <c r="L198" s="80"/>
      <c r="M198" s="82" t="s">
        <v>106595</v>
      </c>
      <c r="N198" s="83"/>
      <c r="O198" s="83"/>
      <c r="P198" s="84"/>
      <c r="Q198" s="84"/>
      <c r="R198" s="85">
        <f>+R199</f>
        <v>25000000</v>
      </c>
      <c r="S198" s="86"/>
      <c r="T198" s="86"/>
      <c r="U198" s="101"/>
    </row>
    <row r="199" spans="1:21" ht="52.5" customHeight="1" x14ac:dyDescent="0.2">
      <c r="A199" s="310"/>
      <c r="B199" s="88"/>
      <c r="C199" s="89"/>
      <c r="D199" s="89"/>
      <c r="E199" s="89"/>
      <c r="F199" s="89"/>
      <c r="G199" s="89"/>
      <c r="H199" s="89"/>
      <c r="I199" s="89"/>
      <c r="J199" s="90"/>
      <c r="K199" s="90" t="s">
        <v>112177</v>
      </c>
      <c r="L199" s="91" t="s">
        <v>113026</v>
      </c>
      <c r="M199" s="92" t="s">
        <v>113027</v>
      </c>
      <c r="N199" s="93">
        <v>45381</v>
      </c>
      <c r="O199" s="93" t="s">
        <v>113006</v>
      </c>
      <c r="P199" s="94" t="s">
        <v>113028</v>
      </c>
      <c r="Q199" s="94" t="s">
        <v>113008</v>
      </c>
      <c r="R199" s="95">
        <v>25000000</v>
      </c>
      <c r="S199" s="96"/>
      <c r="T199" s="129"/>
      <c r="U199" s="98" t="s">
        <v>113029</v>
      </c>
    </row>
    <row r="200" spans="1:21" ht="30" x14ac:dyDescent="0.2">
      <c r="A200" s="310"/>
      <c r="B200" s="170" t="s">
        <v>105516</v>
      </c>
      <c r="C200" s="170" t="s">
        <v>105924</v>
      </c>
      <c r="D200" s="170" t="s">
        <v>105520</v>
      </c>
      <c r="E200" s="170" t="s">
        <v>105520</v>
      </c>
      <c r="F200" s="170" t="s">
        <v>105538</v>
      </c>
      <c r="G200" s="170" t="s">
        <v>105538</v>
      </c>
      <c r="H200" s="170"/>
      <c r="I200" s="170"/>
      <c r="J200" s="170"/>
      <c r="K200" s="171"/>
      <c r="L200" s="171"/>
      <c r="M200" s="172" t="s">
        <v>106611</v>
      </c>
      <c r="N200" s="173"/>
      <c r="O200" s="173"/>
      <c r="P200" s="174"/>
      <c r="Q200" s="174"/>
      <c r="R200" s="175">
        <f>+R201</f>
        <v>150000000</v>
      </c>
      <c r="S200" s="176"/>
      <c r="T200" s="176"/>
      <c r="U200" s="177"/>
    </row>
    <row r="201" spans="1:21" ht="60" x14ac:dyDescent="0.2">
      <c r="A201" s="310"/>
      <c r="B201" s="80" t="s">
        <v>105516</v>
      </c>
      <c r="C201" s="80" t="s">
        <v>105924</v>
      </c>
      <c r="D201" s="80" t="s">
        <v>105520</v>
      </c>
      <c r="E201" s="80" t="s">
        <v>105520</v>
      </c>
      <c r="F201" s="81" t="s">
        <v>105538</v>
      </c>
      <c r="G201" s="81" t="s">
        <v>105538</v>
      </c>
      <c r="H201" s="81" t="s">
        <v>105675</v>
      </c>
      <c r="I201" s="80"/>
      <c r="J201" s="80"/>
      <c r="K201" s="80"/>
      <c r="L201" s="80"/>
      <c r="M201" s="82" t="s">
        <v>106617</v>
      </c>
      <c r="N201" s="83"/>
      <c r="O201" s="83"/>
      <c r="P201" s="84"/>
      <c r="Q201" s="84"/>
      <c r="R201" s="85">
        <f>+R202</f>
        <v>150000000</v>
      </c>
      <c r="S201" s="86"/>
      <c r="T201" s="86"/>
      <c r="U201" s="101"/>
    </row>
    <row r="202" spans="1:21" ht="60" x14ac:dyDescent="0.2">
      <c r="A202" s="310"/>
      <c r="B202" s="88"/>
      <c r="C202" s="89"/>
      <c r="D202" s="89"/>
      <c r="E202" s="89"/>
      <c r="F202" s="89"/>
      <c r="G202" s="89"/>
      <c r="H202" s="89"/>
      <c r="I202" s="89"/>
      <c r="J202" s="89"/>
      <c r="K202" s="90" t="s">
        <v>112186</v>
      </c>
      <c r="L202" s="178">
        <v>15101500</v>
      </c>
      <c r="M202" s="102" t="s">
        <v>113124</v>
      </c>
      <c r="N202" s="93">
        <v>45324</v>
      </c>
      <c r="O202" s="93" t="s">
        <v>113001</v>
      </c>
      <c r="P202" s="94" t="s">
        <v>113004</v>
      </c>
      <c r="Q202" s="94" t="s">
        <v>113038</v>
      </c>
      <c r="R202" s="95">
        <v>150000000</v>
      </c>
      <c r="S202" s="96"/>
      <c r="T202" s="129"/>
      <c r="U202" s="98" t="s">
        <v>113000</v>
      </c>
    </row>
    <row r="203" spans="1:21" ht="30" x14ac:dyDescent="0.2">
      <c r="A203" s="310"/>
      <c r="B203" s="170" t="s">
        <v>105516</v>
      </c>
      <c r="C203" s="170" t="s">
        <v>105924</v>
      </c>
      <c r="D203" s="170" t="s">
        <v>105520</v>
      </c>
      <c r="E203" s="170" t="s">
        <v>105520</v>
      </c>
      <c r="F203" s="170" t="s">
        <v>105538</v>
      </c>
      <c r="G203" s="179" t="s">
        <v>105544</v>
      </c>
      <c r="H203" s="170"/>
      <c r="I203" s="170"/>
      <c r="J203" s="170"/>
      <c r="K203" s="171"/>
      <c r="L203" s="171"/>
      <c r="M203" s="172" t="s">
        <v>106645</v>
      </c>
      <c r="N203" s="173"/>
      <c r="O203" s="173"/>
      <c r="P203" s="174"/>
      <c r="Q203" s="174"/>
      <c r="R203" s="175">
        <f>+R204</f>
        <v>45000000</v>
      </c>
      <c r="S203" s="176"/>
      <c r="T203" s="176"/>
      <c r="U203" s="177"/>
    </row>
    <row r="204" spans="1:21" x14ac:dyDescent="0.2">
      <c r="A204" s="310"/>
      <c r="B204" s="80" t="s">
        <v>105516</v>
      </c>
      <c r="C204" s="80" t="s">
        <v>105924</v>
      </c>
      <c r="D204" s="80" t="s">
        <v>105520</v>
      </c>
      <c r="E204" s="80" t="s">
        <v>105520</v>
      </c>
      <c r="F204" s="80" t="s">
        <v>105538</v>
      </c>
      <c r="G204" s="80" t="s">
        <v>105544</v>
      </c>
      <c r="H204" s="180" t="s">
        <v>105573</v>
      </c>
      <c r="I204" s="80"/>
      <c r="J204" s="80"/>
      <c r="K204" s="80"/>
      <c r="L204" s="80"/>
      <c r="M204" s="109" t="s">
        <v>106649</v>
      </c>
      <c r="N204" s="83"/>
      <c r="O204" s="83"/>
      <c r="P204" s="84"/>
      <c r="Q204" s="84"/>
      <c r="R204" s="85">
        <f>SUM(R205:R206)</f>
        <v>45000000</v>
      </c>
      <c r="S204" s="86"/>
      <c r="T204" s="86"/>
      <c r="U204" s="101"/>
    </row>
    <row r="205" spans="1:21" ht="75" customHeight="1" x14ac:dyDescent="0.2">
      <c r="A205" s="310"/>
      <c r="B205" s="138"/>
      <c r="C205" s="139"/>
      <c r="D205" s="139"/>
      <c r="E205" s="139"/>
      <c r="F205" s="139"/>
      <c r="G205" s="139"/>
      <c r="H205" s="139"/>
      <c r="I205" s="139"/>
      <c r="J205" s="140"/>
      <c r="K205" s="90" t="s">
        <v>112204</v>
      </c>
      <c r="L205" s="91" t="s">
        <v>113280</v>
      </c>
      <c r="M205" s="102" t="s">
        <v>113125</v>
      </c>
      <c r="N205" s="93">
        <v>45427</v>
      </c>
      <c r="O205" s="93" t="s">
        <v>113087</v>
      </c>
      <c r="P205" s="94" t="s">
        <v>113155</v>
      </c>
      <c r="Q205" s="94" t="s">
        <v>113038</v>
      </c>
      <c r="R205" s="95">
        <v>20000000</v>
      </c>
      <c r="S205" s="96"/>
      <c r="T205" s="97"/>
      <c r="U205" s="98" t="s">
        <v>113019</v>
      </c>
    </row>
    <row r="206" spans="1:21" ht="30.75" customHeight="1" x14ac:dyDescent="0.2">
      <c r="A206" s="310"/>
      <c r="B206" s="138"/>
      <c r="C206" s="139"/>
      <c r="D206" s="139"/>
      <c r="E206" s="139"/>
      <c r="F206" s="139"/>
      <c r="G206" s="139"/>
      <c r="H206" s="139"/>
      <c r="I206" s="139"/>
      <c r="J206" s="140"/>
      <c r="K206" s="90" t="s">
        <v>112204</v>
      </c>
      <c r="L206" s="91">
        <v>44103100</v>
      </c>
      <c r="M206" s="102" t="s">
        <v>113039</v>
      </c>
      <c r="N206" s="93">
        <v>45352</v>
      </c>
      <c r="O206" s="93" t="s">
        <v>113006</v>
      </c>
      <c r="P206" s="94" t="s">
        <v>113040</v>
      </c>
      <c r="Q206" s="94" t="s">
        <v>113281</v>
      </c>
      <c r="R206" s="95">
        <v>25000000</v>
      </c>
      <c r="S206" s="96"/>
      <c r="T206" s="97"/>
      <c r="U206" s="98" t="s">
        <v>113029</v>
      </c>
    </row>
    <row r="207" spans="1:21" x14ac:dyDescent="0.2">
      <c r="A207" s="310"/>
      <c r="B207" s="170" t="s">
        <v>105516</v>
      </c>
      <c r="C207" s="170" t="s">
        <v>105924</v>
      </c>
      <c r="D207" s="170" t="s">
        <v>105520</v>
      </c>
      <c r="E207" s="170" t="s">
        <v>105520</v>
      </c>
      <c r="F207" s="170" t="s">
        <v>105538</v>
      </c>
      <c r="G207" s="179" t="s">
        <v>105547</v>
      </c>
      <c r="H207" s="170"/>
      <c r="I207" s="170"/>
      <c r="J207" s="170"/>
      <c r="K207" s="171"/>
      <c r="L207" s="171"/>
      <c r="M207" s="172" t="s">
        <v>106657</v>
      </c>
      <c r="N207" s="173"/>
      <c r="O207" s="173"/>
      <c r="P207" s="174"/>
      <c r="Q207" s="174"/>
      <c r="R207" s="175">
        <f>+R208+R211</f>
        <v>240000000</v>
      </c>
      <c r="S207" s="176"/>
      <c r="T207" s="176"/>
      <c r="U207" s="177"/>
    </row>
    <row r="208" spans="1:21" x14ac:dyDescent="0.2">
      <c r="A208" s="310"/>
      <c r="B208" s="80" t="s">
        <v>105516</v>
      </c>
      <c r="C208" s="80" t="s">
        <v>105924</v>
      </c>
      <c r="D208" s="80" t="s">
        <v>105520</v>
      </c>
      <c r="E208" s="80" t="s">
        <v>105520</v>
      </c>
      <c r="F208" s="80" t="s">
        <v>105538</v>
      </c>
      <c r="G208" s="180" t="s">
        <v>105547</v>
      </c>
      <c r="H208" s="180" t="s">
        <v>105675</v>
      </c>
      <c r="I208" s="80"/>
      <c r="J208" s="80"/>
      <c r="K208" s="80"/>
      <c r="L208" s="80"/>
      <c r="M208" s="82" t="s">
        <v>106663</v>
      </c>
      <c r="N208" s="83"/>
      <c r="O208" s="83"/>
      <c r="P208" s="84"/>
      <c r="Q208" s="84"/>
      <c r="R208" s="85">
        <f>SUM(R209:R210)</f>
        <v>40000000</v>
      </c>
      <c r="S208" s="86"/>
      <c r="T208" s="86"/>
      <c r="U208" s="101"/>
    </row>
    <row r="209" spans="1:21" ht="25.5" customHeight="1" x14ac:dyDescent="0.2">
      <c r="A209" s="310"/>
      <c r="B209" s="88"/>
      <c r="C209" s="89"/>
      <c r="D209" s="89"/>
      <c r="E209" s="89"/>
      <c r="F209" s="89"/>
      <c r="G209" s="89"/>
      <c r="H209" s="89"/>
      <c r="I209" s="89"/>
      <c r="J209" s="90"/>
      <c r="K209" s="90" t="s">
        <v>112210</v>
      </c>
      <c r="L209" s="91" t="s">
        <v>113282</v>
      </c>
      <c r="M209" s="102" t="s">
        <v>113127</v>
      </c>
      <c r="N209" s="93">
        <v>45397</v>
      </c>
      <c r="O209" s="93" t="s">
        <v>113006</v>
      </c>
      <c r="P209" s="94" t="s">
        <v>113028</v>
      </c>
      <c r="Q209" s="94" t="s">
        <v>113008</v>
      </c>
      <c r="R209" s="95">
        <v>40000000</v>
      </c>
      <c r="S209" s="96"/>
      <c r="T209" s="97"/>
      <c r="U209" s="98" t="s">
        <v>113019</v>
      </c>
    </row>
    <row r="210" spans="1:21" ht="25.5" hidden="1" customHeight="1" x14ac:dyDescent="0.2">
      <c r="A210" s="310"/>
      <c r="B210" s="138"/>
      <c r="C210" s="139"/>
      <c r="D210" s="139"/>
      <c r="E210" s="139"/>
      <c r="F210" s="139"/>
      <c r="G210" s="139"/>
      <c r="H210" s="139"/>
      <c r="I210" s="139"/>
      <c r="J210" s="140"/>
      <c r="K210" s="90" t="s">
        <v>112210</v>
      </c>
      <c r="L210" s="181" t="s">
        <v>113283</v>
      </c>
      <c r="M210" s="102" t="s">
        <v>113126</v>
      </c>
      <c r="N210" s="93">
        <v>45352</v>
      </c>
      <c r="O210" s="93" t="s">
        <v>113001</v>
      </c>
      <c r="P210" s="94" t="s">
        <v>113040</v>
      </c>
      <c r="Q210" s="94" t="s">
        <v>113096</v>
      </c>
      <c r="R210" s="95">
        <v>0</v>
      </c>
      <c r="S210" s="96"/>
      <c r="T210" s="97"/>
      <c r="U210" s="98" t="s">
        <v>113019</v>
      </c>
    </row>
    <row r="211" spans="1:21" x14ac:dyDescent="0.2">
      <c r="A211" s="310"/>
      <c r="B211" s="80" t="s">
        <v>105516</v>
      </c>
      <c r="C211" s="80" t="s">
        <v>105924</v>
      </c>
      <c r="D211" s="80" t="s">
        <v>105520</v>
      </c>
      <c r="E211" s="80" t="s">
        <v>105520</v>
      </c>
      <c r="F211" s="80" t="s">
        <v>105538</v>
      </c>
      <c r="G211" s="180" t="s">
        <v>105547</v>
      </c>
      <c r="H211" s="180" t="s">
        <v>106109</v>
      </c>
      <c r="I211" s="80"/>
      <c r="J211" s="80"/>
      <c r="K211" s="80"/>
      <c r="L211" s="80"/>
      <c r="M211" s="109" t="s">
        <v>106667</v>
      </c>
      <c r="N211" s="83"/>
      <c r="O211" s="83"/>
      <c r="P211" s="84"/>
      <c r="Q211" s="84"/>
      <c r="R211" s="85">
        <f>+R212</f>
        <v>200000000</v>
      </c>
      <c r="S211" s="86"/>
      <c r="T211" s="86"/>
      <c r="U211" s="101"/>
    </row>
    <row r="212" spans="1:21" ht="45" x14ac:dyDescent="0.2">
      <c r="A212" s="310"/>
      <c r="B212" s="138"/>
      <c r="C212" s="139"/>
      <c r="D212" s="139"/>
      <c r="E212" s="139"/>
      <c r="F212" s="139"/>
      <c r="G212" s="139"/>
      <c r="H212" s="139"/>
      <c r="I212" s="139"/>
      <c r="J212" s="140"/>
      <c r="K212" s="90" t="s">
        <v>112210</v>
      </c>
      <c r="L212" s="119" t="s">
        <v>113284</v>
      </c>
      <c r="M212" s="120" t="s">
        <v>113128</v>
      </c>
      <c r="N212" s="121">
        <v>45393</v>
      </c>
      <c r="O212" s="93" t="s">
        <v>113006</v>
      </c>
      <c r="P212" s="94" t="s">
        <v>113155</v>
      </c>
      <c r="Q212" s="132" t="s">
        <v>113096</v>
      </c>
      <c r="R212" s="95">
        <v>200000000</v>
      </c>
      <c r="S212" s="96"/>
      <c r="T212" s="97"/>
      <c r="U212" s="98" t="s">
        <v>113019</v>
      </c>
    </row>
    <row r="213" spans="1:21" ht="30" x14ac:dyDescent="0.2">
      <c r="A213" s="310"/>
      <c r="B213" s="170" t="s">
        <v>105516</v>
      </c>
      <c r="C213" s="170" t="s">
        <v>105924</v>
      </c>
      <c r="D213" s="170" t="s">
        <v>105520</v>
      </c>
      <c r="E213" s="170" t="s">
        <v>105520</v>
      </c>
      <c r="F213" s="170" t="s">
        <v>105538</v>
      </c>
      <c r="G213" s="170" t="s">
        <v>105550</v>
      </c>
      <c r="H213" s="170"/>
      <c r="I213" s="170"/>
      <c r="J213" s="170"/>
      <c r="K213" s="171"/>
      <c r="L213" s="171"/>
      <c r="M213" s="172" t="s">
        <v>106669</v>
      </c>
      <c r="N213" s="173"/>
      <c r="O213" s="173"/>
      <c r="P213" s="174"/>
      <c r="Q213" s="174"/>
      <c r="R213" s="175">
        <f>+R214</f>
        <v>200000000</v>
      </c>
      <c r="S213" s="176"/>
      <c r="T213" s="176"/>
      <c r="U213" s="177"/>
    </row>
    <row r="214" spans="1:21" x14ac:dyDescent="0.2">
      <c r="A214" s="310"/>
      <c r="B214" s="80" t="s">
        <v>105516</v>
      </c>
      <c r="C214" s="80" t="s">
        <v>105924</v>
      </c>
      <c r="D214" s="80" t="s">
        <v>105520</v>
      </c>
      <c r="E214" s="80" t="s">
        <v>105520</v>
      </c>
      <c r="F214" s="80" t="s">
        <v>105538</v>
      </c>
      <c r="G214" s="80" t="s">
        <v>105550</v>
      </c>
      <c r="H214" s="80" t="s">
        <v>105520</v>
      </c>
      <c r="I214" s="80"/>
      <c r="J214" s="80"/>
      <c r="K214" s="80"/>
      <c r="L214" s="80"/>
      <c r="M214" s="82" t="s">
        <v>106671</v>
      </c>
      <c r="N214" s="83"/>
      <c r="O214" s="83"/>
      <c r="P214" s="84"/>
      <c r="Q214" s="84"/>
      <c r="R214" s="85">
        <f>+R215</f>
        <v>200000000</v>
      </c>
      <c r="S214" s="86"/>
      <c r="T214" s="86"/>
      <c r="U214" s="101"/>
    </row>
    <row r="215" spans="1:21" ht="45" x14ac:dyDescent="0.2">
      <c r="A215" s="310"/>
      <c r="B215" s="88"/>
      <c r="C215" s="89"/>
      <c r="D215" s="89"/>
      <c r="E215" s="89"/>
      <c r="F215" s="89"/>
      <c r="G215" s="89"/>
      <c r="H215" s="89"/>
      <c r="I215" s="89"/>
      <c r="J215" s="90"/>
      <c r="K215" s="90" t="s">
        <v>112216</v>
      </c>
      <c r="L215" s="91">
        <v>30171600</v>
      </c>
      <c r="M215" s="102" t="s">
        <v>113129</v>
      </c>
      <c r="N215" s="93">
        <v>45306</v>
      </c>
      <c r="O215" s="93" t="s">
        <v>113037</v>
      </c>
      <c r="P215" s="94" t="s">
        <v>113022</v>
      </c>
      <c r="Q215" s="94" t="s">
        <v>112999</v>
      </c>
      <c r="R215" s="95">
        <v>200000000</v>
      </c>
      <c r="S215" s="96"/>
      <c r="T215" s="97"/>
      <c r="U215" s="98" t="s">
        <v>113000</v>
      </c>
    </row>
    <row r="216" spans="1:21" x14ac:dyDescent="0.2">
      <c r="A216" s="310"/>
      <c r="B216" s="63" t="s">
        <v>105516</v>
      </c>
      <c r="C216" s="63" t="s">
        <v>105924</v>
      </c>
      <c r="D216" s="63" t="s">
        <v>105520</v>
      </c>
      <c r="E216" s="63" t="s">
        <v>105520</v>
      </c>
      <c r="F216" s="182" t="s">
        <v>105541</v>
      </c>
      <c r="G216" s="63"/>
      <c r="H216" s="63"/>
      <c r="I216" s="63"/>
      <c r="J216" s="63"/>
      <c r="K216" s="64"/>
      <c r="L216" s="65"/>
      <c r="M216" s="66" t="s">
        <v>112242</v>
      </c>
      <c r="N216" s="67"/>
      <c r="O216" s="67"/>
      <c r="P216" s="68"/>
      <c r="Q216" s="68"/>
      <c r="R216" s="69">
        <f>+R217+R219</f>
        <v>45000000</v>
      </c>
      <c r="S216" s="70"/>
      <c r="T216" s="70"/>
      <c r="U216" s="71"/>
    </row>
    <row r="217" spans="1:21" ht="30" hidden="1" x14ac:dyDescent="0.2">
      <c r="A217" s="310"/>
      <c r="B217" s="170" t="s">
        <v>105516</v>
      </c>
      <c r="C217" s="170" t="s">
        <v>105924</v>
      </c>
      <c r="D217" s="170" t="s">
        <v>105520</v>
      </c>
      <c r="E217" s="170" t="s">
        <v>105520</v>
      </c>
      <c r="F217" s="170" t="s">
        <v>105541</v>
      </c>
      <c r="G217" s="170" t="s">
        <v>105535</v>
      </c>
      <c r="H217" s="170"/>
      <c r="I217" s="170"/>
      <c r="J217" s="170"/>
      <c r="K217" s="171"/>
      <c r="L217" s="171"/>
      <c r="M217" s="172" t="s">
        <v>106709</v>
      </c>
      <c r="N217" s="173"/>
      <c r="O217" s="173"/>
      <c r="P217" s="174"/>
      <c r="Q217" s="174"/>
      <c r="R217" s="175">
        <f>+R218</f>
        <v>0</v>
      </c>
      <c r="S217" s="176"/>
      <c r="T217" s="176"/>
      <c r="U217" s="177"/>
    </row>
    <row r="218" spans="1:21" hidden="1" x14ac:dyDescent="0.2">
      <c r="A218" s="310"/>
      <c r="B218" s="88"/>
      <c r="C218" s="89"/>
      <c r="D218" s="89"/>
      <c r="E218" s="89"/>
      <c r="F218" s="89"/>
      <c r="G218" s="89"/>
      <c r="H218" s="89"/>
      <c r="I218" s="89"/>
      <c r="J218" s="90"/>
      <c r="K218" s="90" t="s">
        <v>112244</v>
      </c>
      <c r="L218" s="181"/>
      <c r="M218" s="102"/>
      <c r="N218" s="93"/>
      <c r="O218" s="93"/>
      <c r="P218" s="94"/>
      <c r="Q218" s="94"/>
      <c r="R218" s="95"/>
      <c r="S218" s="96"/>
      <c r="T218" s="97"/>
      <c r="U218" s="98"/>
    </row>
    <row r="219" spans="1:21" x14ac:dyDescent="0.2">
      <c r="A219" s="310"/>
      <c r="B219" s="170" t="s">
        <v>105516</v>
      </c>
      <c r="C219" s="170" t="s">
        <v>105924</v>
      </c>
      <c r="D219" s="170" t="s">
        <v>105520</v>
      </c>
      <c r="E219" s="170" t="s">
        <v>105520</v>
      </c>
      <c r="F219" s="170" t="s">
        <v>105541</v>
      </c>
      <c r="G219" s="179" t="s">
        <v>105547</v>
      </c>
      <c r="H219" s="170"/>
      <c r="I219" s="170"/>
      <c r="J219" s="170"/>
      <c r="K219" s="171"/>
      <c r="L219" s="171"/>
      <c r="M219" s="172" t="s">
        <v>106282</v>
      </c>
      <c r="N219" s="173"/>
      <c r="O219" s="173"/>
      <c r="P219" s="174"/>
      <c r="Q219" s="174"/>
      <c r="R219" s="175">
        <f>+R220</f>
        <v>45000000</v>
      </c>
      <c r="S219" s="176"/>
      <c r="T219" s="176"/>
      <c r="U219" s="177"/>
    </row>
    <row r="220" spans="1:21" ht="45" x14ac:dyDescent="0.2">
      <c r="A220" s="310"/>
      <c r="B220" s="88"/>
      <c r="C220" s="89"/>
      <c r="D220" s="89"/>
      <c r="E220" s="89"/>
      <c r="F220" s="89"/>
      <c r="G220" s="89"/>
      <c r="H220" s="89"/>
      <c r="I220" s="89"/>
      <c r="J220" s="90"/>
      <c r="K220" s="90" t="s">
        <v>112266</v>
      </c>
      <c r="L220" s="181">
        <v>46171619</v>
      </c>
      <c r="M220" s="102" t="s">
        <v>113285</v>
      </c>
      <c r="N220" s="93">
        <v>45366</v>
      </c>
      <c r="O220" s="93" t="s">
        <v>113001</v>
      </c>
      <c r="P220" s="94" t="s">
        <v>113002</v>
      </c>
      <c r="Q220" s="94" t="s">
        <v>112999</v>
      </c>
      <c r="R220" s="95">
        <v>45000000</v>
      </c>
      <c r="S220" s="96"/>
      <c r="T220" s="97"/>
      <c r="U220" s="98" t="s">
        <v>113000</v>
      </c>
    </row>
    <row r="221" spans="1:21" ht="15.75" x14ac:dyDescent="0.2">
      <c r="A221" s="310"/>
      <c r="B221" s="162" t="s">
        <v>105516</v>
      </c>
      <c r="C221" s="162" t="s">
        <v>105924</v>
      </c>
      <c r="D221" s="162" t="s">
        <v>105520</v>
      </c>
      <c r="E221" s="162" t="s">
        <v>105573</v>
      </c>
      <c r="F221" s="162"/>
      <c r="G221" s="162"/>
      <c r="H221" s="162"/>
      <c r="I221" s="162"/>
      <c r="J221" s="162"/>
      <c r="K221" s="163"/>
      <c r="L221" s="163">
        <v>30171700</v>
      </c>
      <c r="M221" s="164" t="s">
        <v>106777</v>
      </c>
      <c r="N221" s="165"/>
      <c r="O221" s="165"/>
      <c r="P221" s="166"/>
      <c r="Q221" s="166"/>
      <c r="R221" s="167">
        <f>SUM(R222+R242+R246+R255+R282)</f>
        <v>11191000000</v>
      </c>
      <c r="S221" s="168"/>
      <c r="T221" s="168"/>
      <c r="U221" s="169"/>
    </row>
    <row r="222" spans="1:21" x14ac:dyDescent="0.2">
      <c r="A222" s="310"/>
      <c r="B222" s="63" t="s">
        <v>105516</v>
      </c>
      <c r="C222" s="63" t="s">
        <v>105924</v>
      </c>
      <c r="D222" s="63" t="s">
        <v>105520</v>
      </c>
      <c r="E222" s="63" t="s">
        <v>105573</v>
      </c>
      <c r="F222" s="63" t="s">
        <v>105544</v>
      </c>
      <c r="G222" s="63"/>
      <c r="H222" s="63"/>
      <c r="I222" s="63"/>
      <c r="J222" s="63"/>
      <c r="K222" s="64"/>
      <c r="L222" s="65">
        <v>75153000</v>
      </c>
      <c r="M222" s="66" t="s">
        <v>106779</v>
      </c>
      <c r="N222" s="67"/>
      <c r="O222" s="67"/>
      <c r="P222" s="68"/>
      <c r="Q222" s="68"/>
      <c r="R222" s="69">
        <f>+R223</f>
        <v>8248270000</v>
      </c>
      <c r="S222" s="70"/>
      <c r="T222" s="70"/>
      <c r="U222" s="71"/>
    </row>
    <row r="223" spans="1:21" x14ac:dyDescent="0.2">
      <c r="A223" s="310"/>
      <c r="B223" s="170" t="s">
        <v>105516</v>
      </c>
      <c r="C223" s="170" t="s">
        <v>105924</v>
      </c>
      <c r="D223" s="170" t="s">
        <v>105520</v>
      </c>
      <c r="E223" s="170" t="s">
        <v>105573</v>
      </c>
      <c r="F223" s="170" t="s">
        <v>105544</v>
      </c>
      <c r="G223" s="170" t="s">
        <v>105541</v>
      </c>
      <c r="H223" s="170"/>
      <c r="I223" s="170"/>
      <c r="J223" s="170"/>
      <c r="K223" s="171"/>
      <c r="L223" s="171"/>
      <c r="M223" s="183" t="s">
        <v>106781</v>
      </c>
      <c r="N223" s="173"/>
      <c r="O223" s="173"/>
      <c r="P223" s="174"/>
      <c r="Q223" s="174"/>
      <c r="R223" s="175">
        <f>+R224+R233+R237</f>
        <v>8248270000</v>
      </c>
      <c r="S223" s="176"/>
      <c r="T223" s="176"/>
      <c r="U223" s="177"/>
    </row>
    <row r="224" spans="1:21" x14ac:dyDescent="0.2">
      <c r="A224" s="310"/>
      <c r="B224" s="80" t="s">
        <v>105516</v>
      </c>
      <c r="C224" s="80" t="s">
        <v>105924</v>
      </c>
      <c r="D224" s="80" t="s">
        <v>105520</v>
      </c>
      <c r="E224" s="80" t="s">
        <v>105573</v>
      </c>
      <c r="F224" s="80" t="s">
        <v>105544</v>
      </c>
      <c r="G224" s="80" t="s">
        <v>105541</v>
      </c>
      <c r="H224" s="80" t="s">
        <v>105924</v>
      </c>
      <c r="I224" s="80"/>
      <c r="J224" s="80"/>
      <c r="K224" s="80"/>
      <c r="L224" s="80"/>
      <c r="M224" s="82" t="s">
        <v>106811</v>
      </c>
      <c r="N224" s="83"/>
      <c r="O224" s="83"/>
      <c r="P224" s="84"/>
      <c r="Q224" s="84"/>
      <c r="R224" s="85">
        <f>SUM(R225:R232)</f>
        <v>6719670000</v>
      </c>
      <c r="S224" s="86"/>
      <c r="T224" s="86"/>
      <c r="U224" s="101"/>
    </row>
    <row r="225" spans="1:21" ht="65.25" customHeight="1" x14ac:dyDescent="0.2">
      <c r="A225" s="310"/>
      <c r="B225" s="88"/>
      <c r="C225" s="89"/>
      <c r="D225" s="89"/>
      <c r="E225" s="89"/>
      <c r="F225" s="89"/>
      <c r="G225" s="89"/>
      <c r="H225" s="89"/>
      <c r="I225" s="89"/>
      <c r="J225" s="90"/>
      <c r="K225" s="90" t="s">
        <v>112301</v>
      </c>
      <c r="L225" s="91" t="s">
        <v>113131</v>
      </c>
      <c r="M225" s="92" t="s">
        <v>113286</v>
      </c>
      <c r="N225" s="93">
        <v>45306</v>
      </c>
      <c r="O225" s="93" t="s">
        <v>113060</v>
      </c>
      <c r="P225" s="94" t="s">
        <v>113022</v>
      </c>
      <c r="Q225" s="94" t="s">
        <v>113130</v>
      </c>
      <c r="R225" s="95">
        <f>3000000000+2700000000</f>
        <v>5700000000</v>
      </c>
      <c r="S225" s="96"/>
      <c r="T225" s="129"/>
      <c r="U225" s="98" t="s">
        <v>113000</v>
      </c>
    </row>
    <row r="226" spans="1:21" ht="54" customHeight="1" x14ac:dyDescent="0.2">
      <c r="A226" s="310"/>
      <c r="B226" s="88"/>
      <c r="C226" s="89"/>
      <c r="D226" s="89"/>
      <c r="E226" s="89"/>
      <c r="F226" s="89"/>
      <c r="G226" s="89"/>
      <c r="H226" s="89"/>
      <c r="I226" s="89"/>
      <c r="J226" s="90"/>
      <c r="K226" s="90" t="s">
        <v>112301</v>
      </c>
      <c r="L226" s="91" t="s">
        <v>113131</v>
      </c>
      <c r="M226" s="92" t="s">
        <v>113287</v>
      </c>
      <c r="N226" s="93">
        <v>45306</v>
      </c>
      <c r="O226" s="93" t="s">
        <v>113060</v>
      </c>
      <c r="P226" s="94" t="s">
        <v>113022</v>
      </c>
      <c r="Q226" s="94" t="s">
        <v>113130</v>
      </c>
      <c r="R226" s="95">
        <f>2700000000-2700000000</f>
        <v>0</v>
      </c>
      <c r="S226" s="96"/>
      <c r="T226" s="129"/>
      <c r="U226" s="98" t="s">
        <v>113000</v>
      </c>
    </row>
    <row r="227" spans="1:21" ht="45" x14ac:dyDescent="0.2">
      <c r="A227" s="310"/>
      <c r="B227" s="88"/>
      <c r="C227" s="89"/>
      <c r="D227" s="89"/>
      <c r="E227" s="89"/>
      <c r="F227" s="89"/>
      <c r="G227" s="89"/>
      <c r="H227" s="89"/>
      <c r="I227" s="89"/>
      <c r="J227" s="90"/>
      <c r="K227" s="90" t="s">
        <v>112301</v>
      </c>
      <c r="L227" s="91" t="s">
        <v>113133</v>
      </c>
      <c r="M227" s="92" t="s">
        <v>113288</v>
      </c>
      <c r="N227" s="93"/>
      <c r="O227" s="93"/>
      <c r="P227" s="94"/>
      <c r="Q227" s="94"/>
      <c r="R227" s="95">
        <v>225120000</v>
      </c>
      <c r="S227" s="96"/>
      <c r="T227" s="184"/>
      <c r="U227" s="98" t="s">
        <v>113000</v>
      </c>
    </row>
    <row r="228" spans="1:21" ht="45" x14ac:dyDescent="0.2">
      <c r="A228" s="310"/>
      <c r="B228" s="88"/>
      <c r="C228" s="89"/>
      <c r="D228" s="89"/>
      <c r="E228" s="89"/>
      <c r="F228" s="89"/>
      <c r="G228" s="89"/>
      <c r="H228" s="89"/>
      <c r="I228" s="89"/>
      <c r="J228" s="90"/>
      <c r="K228" s="90" t="s">
        <v>112301</v>
      </c>
      <c r="L228" s="91" t="s">
        <v>113133</v>
      </c>
      <c r="M228" s="92" t="s">
        <v>113289</v>
      </c>
      <c r="N228" s="93">
        <v>45397</v>
      </c>
      <c r="O228" s="93" t="s">
        <v>113087</v>
      </c>
      <c r="P228" s="94" t="s">
        <v>113068</v>
      </c>
      <c r="Q228" s="94" t="s">
        <v>113069</v>
      </c>
      <c r="R228" s="95">
        <v>225120000</v>
      </c>
      <c r="S228" s="186" t="s">
        <v>105533</v>
      </c>
      <c r="T228" s="321">
        <v>247632000</v>
      </c>
      <c r="U228" s="98" t="s">
        <v>113000</v>
      </c>
    </row>
    <row r="229" spans="1:21" ht="45" x14ac:dyDescent="0.2">
      <c r="A229" s="310"/>
      <c r="B229" s="88"/>
      <c r="C229" s="89"/>
      <c r="D229" s="89"/>
      <c r="E229" s="89"/>
      <c r="F229" s="89"/>
      <c r="G229" s="89"/>
      <c r="H229" s="89"/>
      <c r="I229" s="89"/>
      <c r="J229" s="90"/>
      <c r="K229" s="90" t="s">
        <v>112301</v>
      </c>
      <c r="L229" s="91">
        <v>72154100</v>
      </c>
      <c r="M229" s="92" t="s">
        <v>113290</v>
      </c>
      <c r="N229" s="93"/>
      <c r="O229" s="93"/>
      <c r="P229" s="94"/>
      <c r="Q229" s="94"/>
      <c r="R229" s="95">
        <v>256940000</v>
      </c>
      <c r="S229" s="185"/>
      <c r="T229" s="129"/>
      <c r="U229" s="98" t="s">
        <v>113000</v>
      </c>
    </row>
    <row r="230" spans="1:21" ht="45" x14ac:dyDescent="0.2">
      <c r="A230" s="310"/>
      <c r="B230" s="88"/>
      <c r="C230" s="89"/>
      <c r="D230" s="89"/>
      <c r="E230" s="89"/>
      <c r="F230" s="89"/>
      <c r="G230" s="89"/>
      <c r="H230" s="89"/>
      <c r="I230" s="89"/>
      <c r="J230" s="90"/>
      <c r="K230" s="90" t="s">
        <v>112301</v>
      </c>
      <c r="L230" s="91">
        <v>72154100</v>
      </c>
      <c r="M230" s="92" t="s">
        <v>113291</v>
      </c>
      <c r="N230" s="93">
        <v>45397</v>
      </c>
      <c r="O230" s="93" t="s">
        <v>113087</v>
      </c>
      <c r="P230" s="94" t="s">
        <v>113068</v>
      </c>
      <c r="Q230" s="94" t="s">
        <v>113069</v>
      </c>
      <c r="R230" s="95">
        <v>256940000</v>
      </c>
      <c r="S230" s="96" t="s">
        <v>105533</v>
      </c>
      <c r="T230" s="322">
        <v>282634000</v>
      </c>
      <c r="U230" s="98" t="s">
        <v>113000</v>
      </c>
    </row>
    <row r="231" spans="1:21" ht="45" x14ac:dyDescent="0.2">
      <c r="A231" s="310"/>
      <c r="B231" s="88"/>
      <c r="C231" s="89"/>
      <c r="D231" s="89"/>
      <c r="E231" s="89"/>
      <c r="F231" s="89"/>
      <c r="G231" s="89"/>
      <c r="H231" s="89"/>
      <c r="I231" s="89"/>
      <c r="J231" s="90"/>
      <c r="K231" s="90" t="s">
        <v>112301</v>
      </c>
      <c r="L231" s="91" t="s">
        <v>113111</v>
      </c>
      <c r="M231" s="92" t="s">
        <v>113112</v>
      </c>
      <c r="N231" s="93">
        <v>45444</v>
      </c>
      <c r="O231" s="93" t="s">
        <v>112997</v>
      </c>
      <c r="P231" s="132" t="s">
        <v>113007</v>
      </c>
      <c r="Q231" s="94" t="s">
        <v>113052</v>
      </c>
      <c r="R231" s="95">
        <v>25550000</v>
      </c>
      <c r="S231" s="186"/>
      <c r="T231" s="184"/>
      <c r="U231" s="98" t="s">
        <v>113000</v>
      </c>
    </row>
    <row r="232" spans="1:21" ht="45" x14ac:dyDescent="0.2">
      <c r="A232" s="310"/>
      <c r="B232" s="88"/>
      <c r="C232" s="89"/>
      <c r="D232" s="89"/>
      <c r="E232" s="89"/>
      <c r="F232" s="89"/>
      <c r="G232" s="89"/>
      <c r="H232" s="89"/>
      <c r="I232" s="89"/>
      <c r="J232" s="90"/>
      <c r="K232" s="90" t="s">
        <v>112301</v>
      </c>
      <c r="L232" s="91">
        <v>72154100</v>
      </c>
      <c r="M232" s="92" t="s">
        <v>113209</v>
      </c>
      <c r="N232" s="93">
        <v>45474</v>
      </c>
      <c r="O232" s="93" t="s">
        <v>112997</v>
      </c>
      <c r="P232" s="132" t="s">
        <v>112998</v>
      </c>
      <c r="Q232" s="94" t="s">
        <v>113052</v>
      </c>
      <c r="R232" s="95">
        <v>30000000</v>
      </c>
      <c r="S232" s="186"/>
      <c r="T232" s="184"/>
      <c r="U232" s="98" t="s">
        <v>113000</v>
      </c>
    </row>
    <row r="233" spans="1:21" x14ac:dyDescent="0.2">
      <c r="A233" s="310"/>
      <c r="B233" s="80" t="s">
        <v>105516</v>
      </c>
      <c r="C233" s="80" t="s">
        <v>105924</v>
      </c>
      <c r="D233" s="80" t="s">
        <v>105520</v>
      </c>
      <c r="E233" s="80" t="s">
        <v>105573</v>
      </c>
      <c r="F233" s="80" t="s">
        <v>105544</v>
      </c>
      <c r="G233" s="80" t="s">
        <v>105541</v>
      </c>
      <c r="H233" s="80" t="s">
        <v>106100</v>
      </c>
      <c r="I233" s="80"/>
      <c r="J233" s="80"/>
      <c r="K233" s="80"/>
      <c r="L233" s="80"/>
      <c r="M233" s="82" t="s">
        <v>106813</v>
      </c>
      <c r="N233" s="83"/>
      <c r="O233" s="83"/>
      <c r="P233" s="84"/>
      <c r="Q233" s="84"/>
      <c r="R233" s="85">
        <f>SUM(R234:R236)</f>
        <v>124700000</v>
      </c>
      <c r="S233" s="86"/>
      <c r="T233" s="86"/>
      <c r="U233" s="101"/>
    </row>
    <row r="234" spans="1:21" ht="30" x14ac:dyDescent="0.2">
      <c r="A234" s="310"/>
      <c r="B234" s="88"/>
      <c r="C234" s="89"/>
      <c r="D234" s="89"/>
      <c r="E234" s="89"/>
      <c r="F234" s="89"/>
      <c r="G234" s="89"/>
      <c r="H234" s="89"/>
      <c r="I234" s="89"/>
      <c r="J234" s="90"/>
      <c r="K234" s="90" t="s">
        <v>112301</v>
      </c>
      <c r="L234" s="55">
        <v>72101500</v>
      </c>
      <c r="M234" s="102" t="s">
        <v>113136</v>
      </c>
      <c r="N234" s="93">
        <v>45301</v>
      </c>
      <c r="O234" s="93" t="s">
        <v>113204</v>
      </c>
      <c r="P234" s="94" t="s">
        <v>113210</v>
      </c>
      <c r="Q234" s="94" t="s">
        <v>113053</v>
      </c>
      <c r="R234" s="95">
        <v>29700000</v>
      </c>
      <c r="S234" s="96"/>
      <c r="T234" s="187"/>
      <c r="U234" s="98" t="s">
        <v>113000</v>
      </c>
    </row>
    <row r="235" spans="1:21" ht="60" x14ac:dyDescent="0.2">
      <c r="A235" s="310"/>
      <c r="B235" s="88"/>
      <c r="C235" s="89"/>
      <c r="D235" s="89"/>
      <c r="E235" s="89"/>
      <c r="F235" s="89"/>
      <c r="G235" s="89"/>
      <c r="H235" s="89"/>
      <c r="I235" s="89"/>
      <c r="J235" s="90"/>
      <c r="K235" s="90" t="s">
        <v>112301</v>
      </c>
      <c r="L235" s="91" t="s">
        <v>113137</v>
      </c>
      <c r="M235" s="102" t="s">
        <v>113292</v>
      </c>
      <c r="N235" s="93">
        <v>45364</v>
      </c>
      <c r="O235" s="93" t="s">
        <v>113006</v>
      </c>
      <c r="P235" s="94" t="s">
        <v>113028</v>
      </c>
      <c r="Q235" s="94" t="s">
        <v>113096</v>
      </c>
      <c r="R235" s="95">
        <v>95000000</v>
      </c>
      <c r="S235" s="96"/>
      <c r="T235" s="187"/>
      <c r="U235" s="98" t="s">
        <v>113003</v>
      </c>
    </row>
    <row r="236" spans="1:21" ht="45" hidden="1" x14ac:dyDescent="0.2">
      <c r="A236" s="310"/>
      <c r="B236" s="88"/>
      <c r="C236" s="89"/>
      <c r="D236" s="89"/>
      <c r="E236" s="89"/>
      <c r="F236" s="89"/>
      <c r="G236" s="89"/>
      <c r="H236" s="89"/>
      <c r="I236" s="89"/>
      <c r="J236" s="90"/>
      <c r="K236" s="90" t="s">
        <v>112301</v>
      </c>
      <c r="L236" s="91" t="s">
        <v>113137</v>
      </c>
      <c r="M236" s="92" t="s">
        <v>113293</v>
      </c>
      <c r="N236" s="93">
        <v>44998</v>
      </c>
      <c r="O236" s="93" t="s">
        <v>113006</v>
      </c>
      <c r="P236" s="94" t="s">
        <v>113004</v>
      </c>
      <c r="Q236" s="94" t="s">
        <v>113096</v>
      </c>
      <c r="R236" s="95">
        <v>0</v>
      </c>
      <c r="S236" s="96"/>
      <c r="T236" s="187"/>
      <c r="U236" s="98" t="s">
        <v>113003</v>
      </c>
    </row>
    <row r="237" spans="1:21" x14ac:dyDescent="0.2">
      <c r="A237" s="310"/>
      <c r="B237" s="80" t="s">
        <v>105516</v>
      </c>
      <c r="C237" s="80" t="s">
        <v>105924</v>
      </c>
      <c r="D237" s="80" t="s">
        <v>105520</v>
      </c>
      <c r="E237" s="80" t="s">
        <v>105573</v>
      </c>
      <c r="F237" s="80" t="s">
        <v>105544</v>
      </c>
      <c r="G237" s="80" t="s">
        <v>105541</v>
      </c>
      <c r="H237" s="80" t="s">
        <v>106103</v>
      </c>
      <c r="I237" s="80"/>
      <c r="J237" s="80"/>
      <c r="K237" s="80"/>
      <c r="L237" s="80"/>
      <c r="M237" s="82" t="s">
        <v>106815</v>
      </c>
      <c r="N237" s="83"/>
      <c r="O237" s="83"/>
      <c r="P237" s="84"/>
      <c r="Q237" s="84"/>
      <c r="R237" s="85">
        <f>SUM(R238:R241)</f>
        <v>1403900000</v>
      </c>
      <c r="S237" s="86"/>
      <c r="T237" s="86"/>
      <c r="U237" s="101"/>
    </row>
    <row r="238" spans="1:21" ht="30" x14ac:dyDescent="0.2">
      <c r="A238" s="310"/>
      <c r="B238" s="88"/>
      <c r="C238" s="89"/>
      <c r="D238" s="89"/>
      <c r="E238" s="89"/>
      <c r="F238" s="89"/>
      <c r="G238" s="89"/>
      <c r="H238" s="89"/>
      <c r="I238" s="89"/>
      <c r="J238" s="90"/>
      <c r="K238" s="90" t="s">
        <v>112301</v>
      </c>
      <c r="L238" s="55">
        <v>72141100</v>
      </c>
      <c r="M238" s="102" t="s">
        <v>113294</v>
      </c>
      <c r="N238" s="93">
        <v>45301</v>
      </c>
      <c r="O238" s="93" t="s">
        <v>113204</v>
      </c>
      <c r="P238" s="94" t="s">
        <v>113210</v>
      </c>
      <c r="Q238" s="94" t="s">
        <v>113053</v>
      </c>
      <c r="R238" s="95">
        <v>15600000</v>
      </c>
      <c r="S238" s="96"/>
      <c r="T238" s="187"/>
      <c r="U238" s="98" t="s">
        <v>113000</v>
      </c>
    </row>
    <row r="239" spans="1:21" ht="45" x14ac:dyDescent="0.2">
      <c r="A239" s="310"/>
      <c r="B239" s="88"/>
      <c r="C239" s="89"/>
      <c r="D239" s="89"/>
      <c r="E239" s="89"/>
      <c r="F239" s="89"/>
      <c r="G239" s="89"/>
      <c r="H239" s="89"/>
      <c r="I239" s="89"/>
      <c r="J239" s="90"/>
      <c r="K239" s="90" t="s">
        <v>112301</v>
      </c>
      <c r="L239" s="55">
        <v>72101500</v>
      </c>
      <c r="M239" s="102" t="s">
        <v>113138</v>
      </c>
      <c r="N239" s="93">
        <v>45301</v>
      </c>
      <c r="O239" s="93" t="s">
        <v>113204</v>
      </c>
      <c r="P239" s="94" t="s">
        <v>113210</v>
      </c>
      <c r="Q239" s="94" t="s">
        <v>113053</v>
      </c>
      <c r="R239" s="95">
        <v>302500000</v>
      </c>
      <c r="S239" s="96"/>
      <c r="T239" s="187"/>
      <c r="U239" s="98" t="s">
        <v>113000</v>
      </c>
    </row>
    <row r="240" spans="1:21" ht="45" x14ac:dyDescent="0.2">
      <c r="A240" s="310"/>
      <c r="B240" s="88"/>
      <c r="C240" s="89"/>
      <c r="D240" s="89"/>
      <c r="E240" s="89"/>
      <c r="F240" s="89"/>
      <c r="G240" s="89"/>
      <c r="H240" s="89"/>
      <c r="I240" s="89"/>
      <c r="J240" s="90"/>
      <c r="K240" s="90" t="s">
        <v>112301</v>
      </c>
      <c r="L240" s="55">
        <v>72101500</v>
      </c>
      <c r="M240" s="102" t="s">
        <v>113139</v>
      </c>
      <c r="N240" s="93">
        <v>45301</v>
      </c>
      <c r="O240" s="93" t="s">
        <v>113060</v>
      </c>
      <c r="P240" s="94" t="s">
        <v>113011</v>
      </c>
      <c r="Q240" s="94" t="s">
        <v>113053</v>
      </c>
      <c r="R240" s="95">
        <v>85800000</v>
      </c>
      <c r="S240" s="96"/>
      <c r="T240" s="187"/>
      <c r="U240" s="98" t="s">
        <v>113000</v>
      </c>
    </row>
    <row r="241" spans="1:21" ht="30" x14ac:dyDescent="0.2">
      <c r="A241" s="310"/>
      <c r="B241" s="88"/>
      <c r="C241" s="89"/>
      <c r="D241" s="89"/>
      <c r="E241" s="89"/>
      <c r="F241" s="89"/>
      <c r="G241" s="89"/>
      <c r="H241" s="89"/>
      <c r="I241" s="89"/>
      <c r="J241" s="90"/>
      <c r="K241" s="90" t="s">
        <v>112301</v>
      </c>
      <c r="L241" s="91">
        <v>72101500</v>
      </c>
      <c r="M241" s="102" t="s">
        <v>113140</v>
      </c>
      <c r="N241" s="93">
        <v>45301</v>
      </c>
      <c r="O241" s="93" t="s">
        <v>113060</v>
      </c>
      <c r="P241" s="94" t="s">
        <v>113011</v>
      </c>
      <c r="Q241" s="94" t="s">
        <v>113053</v>
      </c>
      <c r="R241" s="95">
        <v>1000000000</v>
      </c>
      <c r="S241" s="96"/>
      <c r="T241" s="187"/>
      <c r="U241" s="98" t="s">
        <v>113000</v>
      </c>
    </row>
    <row r="242" spans="1:21" ht="45" x14ac:dyDescent="0.2">
      <c r="A242" s="310"/>
      <c r="B242" s="188" t="s">
        <v>105516</v>
      </c>
      <c r="C242" s="188" t="s">
        <v>105924</v>
      </c>
      <c r="D242" s="188" t="s">
        <v>105520</v>
      </c>
      <c r="E242" s="188" t="s">
        <v>105573</v>
      </c>
      <c r="F242" s="188" t="s">
        <v>105547</v>
      </c>
      <c r="G242" s="188"/>
      <c r="H242" s="188"/>
      <c r="I242" s="188"/>
      <c r="J242" s="188"/>
      <c r="K242" s="189"/>
      <c r="L242" s="65"/>
      <c r="M242" s="66" t="s">
        <v>112320</v>
      </c>
      <c r="N242" s="67"/>
      <c r="O242" s="190"/>
      <c r="P242" s="68"/>
      <c r="Q242" s="68"/>
      <c r="R242" s="69">
        <f>+R243</f>
        <v>25300000</v>
      </c>
      <c r="S242" s="70"/>
      <c r="T242" s="70"/>
      <c r="U242" s="71"/>
    </row>
    <row r="243" spans="1:21" x14ac:dyDescent="0.2">
      <c r="A243" s="310"/>
      <c r="B243" s="191" t="s">
        <v>105516</v>
      </c>
      <c r="C243" s="191" t="s">
        <v>105924</v>
      </c>
      <c r="D243" s="191" t="s">
        <v>105520</v>
      </c>
      <c r="E243" s="191" t="s">
        <v>105573</v>
      </c>
      <c r="F243" s="191" t="s">
        <v>105547</v>
      </c>
      <c r="G243" s="191" t="s">
        <v>105550</v>
      </c>
      <c r="H243" s="191"/>
      <c r="I243" s="191"/>
      <c r="J243" s="191"/>
      <c r="K243" s="192"/>
      <c r="L243" s="171"/>
      <c r="M243" s="172" t="s">
        <v>106841</v>
      </c>
      <c r="N243" s="173"/>
      <c r="O243" s="173"/>
      <c r="P243" s="174"/>
      <c r="Q243" s="174"/>
      <c r="R243" s="175">
        <f>+R244</f>
        <v>25300000</v>
      </c>
      <c r="S243" s="176"/>
      <c r="T243" s="176"/>
      <c r="U243" s="177"/>
    </row>
    <row r="244" spans="1:21" x14ac:dyDescent="0.2">
      <c r="A244" s="310"/>
      <c r="B244" s="81" t="s">
        <v>105516</v>
      </c>
      <c r="C244" s="81" t="s">
        <v>105924</v>
      </c>
      <c r="D244" s="81" t="s">
        <v>105520</v>
      </c>
      <c r="E244" s="81" t="s">
        <v>105573</v>
      </c>
      <c r="F244" s="81" t="s">
        <v>105547</v>
      </c>
      <c r="G244" s="81" t="s">
        <v>105550</v>
      </c>
      <c r="H244" s="81" t="s">
        <v>105520</v>
      </c>
      <c r="I244" s="81"/>
      <c r="J244" s="81"/>
      <c r="K244" s="81"/>
      <c r="L244" s="80"/>
      <c r="M244" s="82" t="s">
        <v>106843</v>
      </c>
      <c r="N244" s="83"/>
      <c r="O244" s="83"/>
      <c r="P244" s="84"/>
      <c r="Q244" s="84"/>
      <c r="R244" s="85">
        <f>+R245</f>
        <v>25300000</v>
      </c>
      <c r="S244" s="86"/>
      <c r="T244" s="86"/>
      <c r="U244" s="87"/>
    </row>
    <row r="245" spans="1:21" ht="30" x14ac:dyDescent="0.2">
      <c r="A245" s="310"/>
      <c r="B245" s="88"/>
      <c r="C245" s="89"/>
      <c r="D245" s="89"/>
      <c r="E245" s="89"/>
      <c r="F245" s="89"/>
      <c r="G245" s="89"/>
      <c r="H245" s="89"/>
      <c r="I245" s="89"/>
      <c r="J245" s="90"/>
      <c r="K245" s="90" t="s">
        <v>112476</v>
      </c>
      <c r="L245" s="55">
        <v>78121600</v>
      </c>
      <c r="M245" s="102" t="s">
        <v>113141</v>
      </c>
      <c r="N245" s="93">
        <v>45301</v>
      </c>
      <c r="O245" s="93" t="s">
        <v>113204</v>
      </c>
      <c r="P245" s="94" t="s">
        <v>113011</v>
      </c>
      <c r="Q245" s="94" t="s">
        <v>113053</v>
      </c>
      <c r="R245" s="95">
        <v>25300000</v>
      </c>
      <c r="S245" s="133"/>
      <c r="T245" s="193"/>
      <c r="U245" s="98" t="s">
        <v>113000</v>
      </c>
    </row>
    <row r="246" spans="1:21" ht="30" x14ac:dyDescent="0.2">
      <c r="A246" s="310"/>
      <c r="B246" s="63" t="s">
        <v>105516</v>
      </c>
      <c r="C246" s="63" t="s">
        <v>105924</v>
      </c>
      <c r="D246" s="63" t="s">
        <v>105520</v>
      </c>
      <c r="E246" s="63" t="s">
        <v>105573</v>
      </c>
      <c r="F246" s="63" t="s">
        <v>105550</v>
      </c>
      <c r="G246" s="63"/>
      <c r="H246" s="63"/>
      <c r="I246" s="63"/>
      <c r="J246" s="63"/>
      <c r="K246" s="64"/>
      <c r="L246" s="65"/>
      <c r="M246" s="66" t="s">
        <v>106865</v>
      </c>
      <c r="N246" s="67"/>
      <c r="O246" s="190"/>
      <c r="P246" s="68"/>
      <c r="Q246" s="68"/>
      <c r="R246" s="69">
        <f>+R247+R251</f>
        <v>197931200</v>
      </c>
      <c r="S246" s="70"/>
      <c r="T246" s="70"/>
      <c r="U246" s="71"/>
    </row>
    <row r="247" spans="1:21" x14ac:dyDescent="0.2">
      <c r="A247" s="310"/>
      <c r="B247" s="170" t="s">
        <v>105516</v>
      </c>
      <c r="C247" s="170" t="s">
        <v>105924</v>
      </c>
      <c r="D247" s="170" t="s">
        <v>105520</v>
      </c>
      <c r="E247" s="170" t="s">
        <v>105573</v>
      </c>
      <c r="F247" s="170" t="s">
        <v>105550</v>
      </c>
      <c r="G247" s="191" t="s">
        <v>105528</v>
      </c>
      <c r="H247" s="170"/>
      <c r="I247" s="170"/>
      <c r="J247" s="170"/>
      <c r="K247" s="171"/>
      <c r="L247" s="171"/>
      <c r="M247" s="172" t="s">
        <v>106867</v>
      </c>
      <c r="N247" s="173"/>
      <c r="O247" s="173"/>
      <c r="P247" s="174"/>
      <c r="Q247" s="174"/>
      <c r="R247" s="175">
        <f>+R248</f>
        <v>75000000</v>
      </c>
      <c r="S247" s="176"/>
      <c r="T247" s="176"/>
      <c r="U247" s="177"/>
    </row>
    <row r="248" spans="1:21" ht="30" x14ac:dyDescent="0.2">
      <c r="A248" s="310"/>
      <c r="B248" s="81" t="s">
        <v>105516</v>
      </c>
      <c r="C248" s="81" t="s">
        <v>105924</v>
      </c>
      <c r="D248" s="81" t="s">
        <v>105520</v>
      </c>
      <c r="E248" s="81" t="s">
        <v>105573</v>
      </c>
      <c r="F248" s="81" t="s">
        <v>105550</v>
      </c>
      <c r="G248" s="81" t="s">
        <v>105528</v>
      </c>
      <c r="H248" s="81" t="s">
        <v>105675</v>
      </c>
      <c r="I248" s="81"/>
      <c r="J248" s="81"/>
      <c r="K248" s="81"/>
      <c r="L248" s="80"/>
      <c r="M248" s="82" t="s">
        <v>106882</v>
      </c>
      <c r="N248" s="83"/>
      <c r="O248" s="83"/>
      <c r="P248" s="84"/>
      <c r="Q248" s="84"/>
      <c r="R248" s="85">
        <f>+R249</f>
        <v>75000000</v>
      </c>
      <c r="S248" s="86"/>
      <c r="T248" s="86"/>
      <c r="U248" s="87"/>
    </row>
    <row r="249" spans="1:21" x14ac:dyDescent="0.2">
      <c r="A249" s="310"/>
      <c r="B249" s="81" t="s">
        <v>105516</v>
      </c>
      <c r="C249" s="81" t="s">
        <v>105924</v>
      </c>
      <c r="D249" s="81" t="s">
        <v>105520</v>
      </c>
      <c r="E249" s="81" t="s">
        <v>105573</v>
      </c>
      <c r="F249" s="81" t="s">
        <v>105550</v>
      </c>
      <c r="G249" s="81" t="s">
        <v>105528</v>
      </c>
      <c r="H249" s="81" t="s">
        <v>105675</v>
      </c>
      <c r="I249" s="81" t="s">
        <v>106211</v>
      </c>
      <c r="J249" s="81"/>
      <c r="K249" s="81"/>
      <c r="L249" s="80"/>
      <c r="M249" s="82" t="s">
        <v>113142</v>
      </c>
      <c r="N249" s="83"/>
      <c r="O249" s="83"/>
      <c r="P249" s="84"/>
      <c r="Q249" s="84"/>
      <c r="R249" s="85">
        <f>+R250</f>
        <v>75000000</v>
      </c>
      <c r="S249" s="86"/>
      <c r="T249" s="86"/>
      <c r="U249" s="87"/>
    </row>
    <row r="250" spans="1:21" ht="30" x14ac:dyDescent="0.2">
      <c r="A250" s="310"/>
      <c r="B250" s="194"/>
      <c r="C250" s="195"/>
      <c r="D250" s="195"/>
      <c r="E250" s="195"/>
      <c r="F250" s="195"/>
      <c r="G250" s="195"/>
      <c r="H250" s="195"/>
      <c r="I250" s="195"/>
      <c r="J250" s="196"/>
      <c r="K250" s="90" t="s">
        <v>112489</v>
      </c>
      <c r="L250" s="55"/>
      <c r="M250" s="102" t="s">
        <v>113143</v>
      </c>
      <c r="N250" s="93" t="s">
        <v>113031</v>
      </c>
      <c r="O250" s="93" t="s">
        <v>113031</v>
      </c>
      <c r="P250" s="93" t="s">
        <v>113031</v>
      </c>
      <c r="Q250" s="93" t="s">
        <v>113031</v>
      </c>
      <c r="R250" s="95">
        <v>75000000</v>
      </c>
      <c r="S250" s="96"/>
      <c r="T250" s="97"/>
      <c r="U250" s="98" t="s">
        <v>113000</v>
      </c>
    </row>
    <row r="251" spans="1:21" x14ac:dyDescent="0.2">
      <c r="A251" s="310"/>
      <c r="B251" s="170" t="s">
        <v>105516</v>
      </c>
      <c r="C251" s="170" t="s">
        <v>105924</v>
      </c>
      <c r="D251" s="170" t="s">
        <v>105520</v>
      </c>
      <c r="E251" s="170" t="s">
        <v>105573</v>
      </c>
      <c r="F251" s="170" t="s">
        <v>105550</v>
      </c>
      <c r="G251" s="170" t="s">
        <v>105535</v>
      </c>
      <c r="H251" s="170"/>
      <c r="I251" s="170"/>
      <c r="J251" s="170"/>
      <c r="K251" s="171"/>
      <c r="L251" s="171"/>
      <c r="M251" s="172" t="s">
        <v>106948</v>
      </c>
      <c r="N251" s="173"/>
      <c r="O251" s="173"/>
      <c r="P251" s="174"/>
      <c r="Q251" s="174"/>
      <c r="R251" s="175">
        <f>+R252</f>
        <v>122931200</v>
      </c>
      <c r="S251" s="176"/>
      <c r="T251" s="176"/>
      <c r="U251" s="177"/>
    </row>
    <row r="252" spans="1:21" x14ac:dyDescent="0.2">
      <c r="A252" s="310"/>
      <c r="B252" s="81" t="s">
        <v>105516</v>
      </c>
      <c r="C252" s="81" t="s">
        <v>105924</v>
      </c>
      <c r="D252" s="81" t="s">
        <v>105520</v>
      </c>
      <c r="E252" s="81" t="s">
        <v>105573</v>
      </c>
      <c r="F252" s="81" t="s">
        <v>105550</v>
      </c>
      <c r="G252" s="81" t="s">
        <v>105535</v>
      </c>
      <c r="H252" s="81" t="s">
        <v>105520</v>
      </c>
      <c r="I252" s="80"/>
      <c r="J252" s="80"/>
      <c r="K252" s="80"/>
      <c r="L252" s="80"/>
      <c r="M252" s="82" t="s">
        <v>106958</v>
      </c>
      <c r="N252" s="83"/>
      <c r="O252" s="83"/>
      <c r="P252" s="84"/>
      <c r="Q252" s="84"/>
      <c r="R252" s="85">
        <f>+R253</f>
        <v>122931200</v>
      </c>
      <c r="S252" s="86"/>
      <c r="T252" s="86"/>
      <c r="U252" s="101"/>
    </row>
    <row r="253" spans="1:21" ht="30" x14ac:dyDescent="0.2">
      <c r="A253" s="310"/>
      <c r="B253" s="81" t="s">
        <v>105516</v>
      </c>
      <c r="C253" s="81" t="s">
        <v>105924</v>
      </c>
      <c r="D253" s="81" t="s">
        <v>105520</v>
      </c>
      <c r="E253" s="81" t="s">
        <v>105573</v>
      </c>
      <c r="F253" s="81" t="s">
        <v>105550</v>
      </c>
      <c r="G253" s="81" t="s">
        <v>105535</v>
      </c>
      <c r="H253" s="80" t="s">
        <v>105520</v>
      </c>
      <c r="I253" s="80" t="s">
        <v>105576</v>
      </c>
      <c r="J253" s="80"/>
      <c r="K253" s="80"/>
      <c r="L253" s="80"/>
      <c r="M253" s="82" t="s">
        <v>106960</v>
      </c>
      <c r="N253" s="83"/>
      <c r="O253" s="83"/>
      <c r="P253" s="84"/>
      <c r="Q253" s="84"/>
      <c r="R253" s="85">
        <f>+R254</f>
        <v>122931200</v>
      </c>
      <c r="S253" s="86"/>
      <c r="T253" s="86"/>
      <c r="U253" s="101"/>
    </row>
    <row r="254" spans="1:21" x14ac:dyDescent="0.2">
      <c r="A254" s="310"/>
      <c r="B254" s="194"/>
      <c r="C254" s="195"/>
      <c r="D254" s="195"/>
      <c r="E254" s="195"/>
      <c r="F254" s="195"/>
      <c r="G254" s="195"/>
      <c r="H254" s="195"/>
      <c r="I254" s="195"/>
      <c r="J254" s="196"/>
      <c r="K254" s="90" t="s">
        <v>112528</v>
      </c>
      <c r="L254" s="55"/>
      <c r="M254" s="92" t="s">
        <v>113144</v>
      </c>
      <c r="N254" s="93">
        <v>45293</v>
      </c>
      <c r="O254" s="93" t="s">
        <v>113060</v>
      </c>
      <c r="P254" s="132" t="s">
        <v>113068</v>
      </c>
      <c r="Q254" s="93" t="s">
        <v>113031</v>
      </c>
      <c r="R254" s="95">
        <v>122931200</v>
      </c>
      <c r="S254" s="96"/>
      <c r="T254" s="97"/>
      <c r="U254" s="98" t="s">
        <v>113064</v>
      </c>
    </row>
    <row r="255" spans="1:21" ht="30" x14ac:dyDescent="0.2">
      <c r="A255" s="310"/>
      <c r="B255" s="63" t="s">
        <v>105516</v>
      </c>
      <c r="C255" s="63" t="s">
        <v>105924</v>
      </c>
      <c r="D255" s="63" t="s">
        <v>105520</v>
      </c>
      <c r="E255" s="63" t="s">
        <v>105573</v>
      </c>
      <c r="F255" s="63" t="s">
        <v>105553</v>
      </c>
      <c r="G255" s="63"/>
      <c r="H255" s="63"/>
      <c r="I255" s="63"/>
      <c r="J255" s="63"/>
      <c r="K255" s="64"/>
      <c r="L255" s="65"/>
      <c r="M255" s="66" t="s">
        <v>106978</v>
      </c>
      <c r="N255" s="67"/>
      <c r="O255" s="67"/>
      <c r="P255" s="68"/>
      <c r="Q255" s="68"/>
      <c r="R255" s="69">
        <f>+R256+R264+R277</f>
        <v>2714632800</v>
      </c>
      <c r="S255" s="70"/>
      <c r="T255" s="70"/>
      <c r="U255" s="71"/>
    </row>
    <row r="256" spans="1:21" x14ac:dyDescent="0.2">
      <c r="A256" s="310"/>
      <c r="B256" s="170" t="s">
        <v>105516</v>
      </c>
      <c r="C256" s="170" t="s">
        <v>105924</v>
      </c>
      <c r="D256" s="170" t="s">
        <v>105520</v>
      </c>
      <c r="E256" s="170" t="s">
        <v>105573</v>
      </c>
      <c r="F256" s="170" t="s">
        <v>105553</v>
      </c>
      <c r="G256" s="170" t="s">
        <v>105538</v>
      </c>
      <c r="H256" s="170"/>
      <c r="I256" s="170"/>
      <c r="J256" s="170"/>
      <c r="K256" s="171"/>
      <c r="L256" s="171"/>
      <c r="M256" s="172" t="s">
        <v>106998</v>
      </c>
      <c r="N256" s="173"/>
      <c r="O256" s="173"/>
      <c r="P256" s="174"/>
      <c r="Q256" s="174"/>
      <c r="R256" s="175">
        <f>+R257</f>
        <v>150500000</v>
      </c>
      <c r="S256" s="176"/>
      <c r="T256" s="176"/>
      <c r="U256" s="177"/>
    </row>
    <row r="257" spans="1:21" ht="30" x14ac:dyDescent="0.2">
      <c r="A257" s="310"/>
      <c r="B257" s="80" t="s">
        <v>105516</v>
      </c>
      <c r="C257" s="80" t="s">
        <v>105924</v>
      </c>
      <c r="D257" s="80" t="s">
        <v>105520</v>
      </c>
      <c r="E257" s="80" t="s">
        <v>105573</v>
      </c>
      <c r="F257" s="80" t="s">
        <v>105553</v>
      </c>
      <c r="G257" s="80" t="s">
        <v>105538</v>
      </c>
      <c r="H257" s="80" t="s">
        <v>105520</v>
      </c>
      <c r="I257" s="80"/>
      <c r="J257" s="80"/>
      <c r="K257" s="80"/>
      <c r="L257" s="80"/>
      <c r="M257" s="82" t="s">
        <v>107000</v>
      </c>
      <c r="N257" s="83"/>
      <c r="O257" s="83"/>
      <c r="P257" s="84"/>
      <c r="Q257" s="84"/>
      <c r="R257" s="85">
        <f>+R258</f>
        <v>150500000</v>
      </c>
      <c r="S257" s="86"/>
      <c r="T257" s="86"/>
      <c r="U257" s="101"/>
    </row>
    <row r="258" spans="1:21" ht="30" x14ac:dyDescent="0.2">
      <c r="A258" s="310"/>
      <c r="B258" s="80" t="s">
        <v>105516</v>
      </c>
      <c r="C258" s="80" t="s">
        <v>105924</v>
      </c>
      <c r="D258" s="80" t="s">
        <v>105520</v>
      </c>
      <c r="E258" s="80" t="s">
        <v>105573</v>
      </c>
      <c r="F258" s="80" t="s">
        <v>105553</v>
      </c>
      <c r="G258" s="80" t="s">
        <v>105538</v>
      </c>
      <c r="H258" s="80" t="s">
        <v>105520</v>
      </c>
      <c r="I258" s="80" t="s">
        <v>105576</v>
      </c>
      <c r="J258" s="80"/>
      <c r="K258" s="80"/>
      <c r="L258" s="80"/>
      <c r="M258" s="82" t="s">
        <v>107002</v>
      </c>
      <c r="N258" s="83"/>
      <c r="O258" s="83"/>
      <c r="P258" s="84"/>
      <c r="Q258" s="84"/>
      <c r="R258" s="85">
        <f>SUM(R259:R263)</f>
        <v>150500000</v>
      </c>
      <c r="S258" s="86"/>
      <c r="T258" s="86"/>
      <c r="U258" s="101"/>
    </row>
    <row r="259" spans="1:21" ht="60" x14ac:dyDescent="0.2">
      <c r="A259" s="310"/>
      <c r="B259" s="88"/>
      <c r="C259" s="89"/>
      <c r="D259" s="89"/>
      <c r="E259" s="89"/>
      <c r="F259" s="89"/>
      <c r="G259" s="89"/>
      <c r="H259" s="89"/>
      <c r="I259" s="89"/>
      <c r="J259" s="90"/>
      <c r="K259" s="90" t="s">
        <v>112567</v>
      </c>
      <c r="L259" s="91" t="s">
        <v>113295</v>
      </c>
      <c r="M259" s="102" t="s">
        <v>113296</v>
      </c>
      <c r="N259" s="93">
        <v>45536</v>
      </c>
      <c r="O259" s="93" t="s">
        <v>113078</v>
      </c>
      <c r="P259" s="94" t="s">
        <v>113007</v>
      </c>
      <c r="Q259" s="94" t="s">
        <v>113113</v>
      </c>
      <c r="R259" s="95">
        <v>35000000</v>
      </c>
      <c r="S259" s="96"/>
      <c r="T259" s="97"/>
      <c r="U259" s="98" t="s">
        <v>113019</v>
      </c>
    </row>
    <row r="260" spans="1:21" ht="75" x14ac:dyDescent="0.2">
      <c r="A260" s="310"/>
      <c r="B260" s="138"/>
      <c r="C260" s="139"/>
      <c r="D260" s="139"/>
      <c r="E260" s="139"/>
      <c r="F260" s="139"/>
      <c r="G260" s="139"/>
      <c r="H260" s="139"/>
      <c r="I260" s="139"/>
      <c r="J260" s="140"/>
      <c r="K260" s="140" t="s">
        <v>112567</v>
      </c>
      <c r="L260" s="91">
        <v>80101500</v>
      </c>
      <c r="M260" s="92" t="s">
        <v>113146</v>
      </c>
      <c r="N260" s="93">
        <v>45323</v>
      </c>
      <c r="O260" s="93" t="s">
        <v>113037</v>
      </c>
      <c r="P260" s="94" t="s">
        <v>113011</v>
      </c>
      <c r="Q260" s="132" t="s">
        <v>113071</v>
      </c>
      <c r="R260" s="95">
        <v>35200000</v>
      </c>
      <c r="S260" s="96"/>
      <c r="T260" s="97"/>
      <c r="U260" s="98" t="s">
        <v>113019</v>
      </c>
    </row>
    <row r="261" spans="1:21" ht="45" x14ac:dyDescent="0.2">
      <c r="A261" s="310"/>
      <c r="B261" s="138"/>
      <c r="C261" s="139"/>
      <c r="D261" s="139"/>
      <c r="E261" s="139"/>
      <c r="F261" s="139"/>
      <c r="G261" s="139"/>
      <c r="H261" s="139"/>
      <c r="I261" s="139"/>
      <c r="J261" s="140"/>
      <c r="K261" s="140" t="s">
        <v>112567</v>
      </c>
      <c r="L261" s="55">
        <v>80101500</v>
      </c>
      <c r="M261" s="102" t="s">
        <v>113147</v>
      </c>
      <c r="N261" s="93">
        <v>45323</v>
      </c>
      <c r="O261" s="93" t="s">
        <v>113037</v>
      </c>
      <c r="P261" s="94" t="s">
        <v>113011</v>
      </c>
      <c r="Q261" s="94" t="s">
        <v>113071</v>
      </c>
      <c r="R261" s="95">
        <v>35200000</v>
      </c>
      <c r="S261" s="96"/>
      <c r="T261" s="97"/>
      <c r="U261" s="98" t="s">
        <v>113019</v>
      </c>
    </row>
    <row r="262" spans="1:21" ht="45" hidden="1" x14ac:dyDescent="0.2">
      <c r="A262" s="310"/>
      <c r="B262" s="138"/>
      <c r="C262" s="139"/>
      <c r="D262" s="139"/>
      <c r="E262" s="139"/>
      <c r="F262" s="139"/>
      <c r="G262" s="139"/>
      <c r="H262" s="139"/>
      <c r="I262" s="139"/>
      <c r="J262" s="140"/>
      <c r="K262" s="140" t="s">
        <v>112567</v>
      </c>
      <c r="L262" s="55">
        <v>80101500</v>
      </c>
      <c r="M262" s="102" t="s">
        <v>113297</v>
      </c>
      <c r="N262" s="93">
        <v>45323</v>
      </c>
      <c r="O262" s="93" t="s">
        <v>113037</v>
      </c>
      <c r="P262" s="94" t="s">
        <v>113011</v>
      </c>
      <c r="Q262" s="94" t="s">
        <v>113071</v>
      </c>
      <c r="R262" s="95">
        <v>0</v>
      </c>
      <c r="S262" s="96"/>
      <c r="T262" s="97"/>
      <c r="U262" s="98" t="s">
        <v>113019</v>
      </c>
    </row>
    <row r="263" spans="1:21" s="203" customFormat="1" ht="30" x14ac:dyDescent="0.2">
      <c r="A263" s="323"/>
      <c r="B263" s="197"/>
      <c r="C263" s="198"/>
      <c r="D263" s="198"/>
      <c r="E263" s="198"/>
      <c r="F263" s="198"/>
      <c r="G263" s="198"/>
      <c r="H263" s="198"/>
      <c r="I263" s="198"/>
      <c r="J263" s="199"/>
      <c r="K263" s="199" t="s">
        <v>112567</v>
      </c>
      <c r="L263" s="181">
        <v>80161500</v>
      </c>
      <c r="M263" s="102" t="s">
        <v>113145</v>
      </c>
      <c r="N263" s="93">
        <v>45301</v>
      </c>
      <c r="O263" s="93" t="s">
        <v>113060</v>
      </c>
      <c r="P263" s="94" t="s">
        <v>113200</v>
      </c>
      <c r="Q263" s="94" t="s">
        <v>113053</v>
      </c>
      <c r="R263" s="95">
        <v>45100000</v>
      </c>
      <c r="S263" s="200"/>
      <c r="T263" s="201"/>
      <c r="U263" s="202" t="s">
        <v>113000</v>
      </c>
    </row>
    <row r="264" spans="1:21" x14ac:dyDescent="0.2">
      <c r="A264" s="310"/>
      <c r="B264" s="170" t="s">
        <v>105516</v>
      </c>
      <c r="C264" s="170" t="s">
        <v>105924</v>
      </c>
      <c r="D264" s="170" t="s">
        <v>105520</v>
      </c>
      <c r="E264" s="170" t="s">
        <v>105573</v>
      </c>
      <c r="F264" s="170" t="s">
        <v>105553</v>
      </c>
      <c r="G264" s="170" t="s">
        <v>105544</v>
      </c>
      <c r="H264" s="170"/>
      <c r="I264" s="170"/>
      <c r="J264" s="170"/>
      <c r="K264" s="171"/>
      <c r="L264" s="171"/>
      <c r="M264" s="172" t="s">
        <v>107054</v>
      </c>
      <c r="N264" s="173"/>
      <c r="O264" s="173"/>
      <c r="P264" s="174"/>
      <c r="Q264" s="174"/>
      <c r="R264" s="175">
        <f>SUM(R265+R268)</f>
        <v>2447676000</v>
      </c>
      <c r="S264" s="176"/>
      <c r="T264" s="176"/>
      <c r="U264" s="177"/>
    </row>
    <row r="265" spans="1:21" x14ac:dyDescent="0.2">
      <c r="A265" s="310"/>
      <c r="B265" s="80" t="s">
        <v>105516</v>
      </c>
      <c r="C265" s="80" t="s">
        <v>105924</v>
      </c>
      <c r="D265" s="80" t="s">
        <v>105520</v>
      </c>
      <c r="E265" s="80" t="s">
        <v>105573</v>
      </c>
      <c r="F265" s="80" t="s">
        <v>105553</v>
      </c>
      <c r="G265" s="80" t="s">
        <v>105544</v>
      </c>
      <c r="H265" s="80" t="s">
        <v>105573</v>
      </c>
      <c r="I265" s="80"/>
      <c r="J265" s="80"/>
      <c r="K265" s="80"/>
      <c r="L265" s="80"/>
      <c r="M265" s="82" t="s">
        <v>113148</v>
      </c>
      <c r="N265" s="83"/>
      <c r="O265" s="83"/>
      <c r="P265" s="84"/>
      <c r="Q265" s="84"/>
      <c r="R265" s="85">
        <f>SUM(R266:R267)</f>
        <v>332760000</v>
      </c>
      <c r="S265" s="86"/>
      <c r="T265" s="86"/>
      <c r="U265" s="101"/>
    </row>
    <row r="266" spans="1:21" ht="45" x14ac:dyDescent="0.2">
      <c r="A266" s="310"/>
      <c r="B266" s="88"/>
      <c r="C266" s="89"/>
      <c r="D266" s="89"/>
      <c r="E266" s="89"/>
      <c r="F266" s="89"/>
      <c r="G266" s="89"/>
      <c r="H266" s="89"/>
      <c r="I266" s="89"/>
      <c r="J266" s="90"/>
      <c r="K266" s="90"/>
      <c r="L266" s="204">
        <v>92121500</v>
      </c>
      <c r="M266" s="92" t="s">
        <v>113298</v>
      </c>
      <c r="N266" s="93">
        <v>45397</v>
      </c>
      <c r="O266" s="93" t="s">
        <v>113087</v>
      </c>
      <c r="P266" s="94" t="s">
        <v>113068</v>
      </c>
      <c r="Q266" s="94" t="s">
        <v>113096</v>
      </c>
      <c r="R266" s="95">
        <v>166380000</v>
      </c>
      <c r="S266" s="205" t="s">
        <v>105533</v>
      </c>
      <c r="T266" s="324">
        <v>183018000</v>
      </c>
      <c r="U266" s="186" t="s">
        <v>113000</v>
      </c>
    </row>
    <row r="267" spans="1:21" ht="45" x14ac:dyDescent="0.2">
      <c r="A267" s="310"/>
      <c r="B267" s="138"/>
      <c r="C267" s="139"/>
      <c r="D267" s="139"/>
      <c r="E267" s="139"/>
      <c r="F267" s="139"/>
      <c r="G267" s="139"/>
      <c r="H267" s="139"/>
      <c r="I267" s="139"/>
      <c r="J267" s="140"/>
      <c r="K267" s="140"/>
      <c r="L267" s="204">
        <v>92121500</v>
      </c>
      <c r="M267" s="131" t="s">
        <v>113299</v>
      </c>
      <c r="N267" s="93"/>
      <c r="O267" s="93"/>
      <c r="P267" s="132"/>
      <c r="Q267" s="94"/>
      <c r="R267" s="95">
        <v>166380000</v>
      </c>
      <c r="S267" s="186"/>
      <c r="T267" s="206"/>
      <c r="U267" s="98" t="s">
        <v>113000</v>
      </c>
    </row>
    <row r="268" spans="1:21" x14ac:dyDescent="0.2">
      <c r="A268" s="310"/>
      <c r="B268" s="80" t="s">
        <v>105516</v>
      </c>
      <c r="C268" s="80" t="s">
        <v>105924</v>
      </c>
      <c r="D268" s="80" t="s">
        <v>105520</v>
      </c>
      <c r="E268" s="80" t="s">
        <v>105573</v>
      </c>
      <c r="F268" s="80" t="s">
        <v>105553</v>
      </c>
      <c r="G268" s="80" t="s">
        <v>105544</v>
      </c>
      <c r="H268" s="80" t="s">
        <v>105675</v>
      </c>
      <c r="I268" s="80"/>
      <c r="J268" s="80"/>
      <c r="K268" s="80"/>
      <c r="L268" s="80"/>
      <c r="M268" s="82" t="s">
        <v>107060</v>
      </c>
      <c r="N268" s="83"/>
      <c r="O268" s="83" t="s">
        <v>112995</v>
      </c>
      <c r="P268" s="84"/>
      <c r="Q268" s="84"/>
      <c r="R268" s="85">
        <f>SUM(R269:R276)</f>
        <v>2114916000</v>
      </c>
      <c r="S268" s="86"/>
      <c r="T268" s="86"/>
      <c r="U268" s="101"/>
    </row>
    <row r="269" spans="1:21" ht="30" x14ac:dyDescent="0.2">
      <c r="A269" s="310"/>
      <c r="B269" s="138"/>
      <c r="C269" s="139"/>
      <c r="D269" s="139"/>
      <c r="E269" s="139"/>
      <c r="F269" s="139"/>
      <c r="G269" s="139"/>
      <c r="H269" s="139"/>
      <c r="I269" s="139"/>
      <c r="J269" s="140"/>
      <c r="K269" s="140" t="s">
        <v>112595</v>
      </c>
      <c r="L269" s="55">
        <v>76111500</v>
      </c>
      <c r="M269" s="92" t="s">
        <v>113300</v>
      </c>
      <c r="N269" s="93"/>
      <c r="O269" s="93"/>
      <c r="P269" s="132"/>
      <c r="Q269" s="94"/>
      <c r="R269" s="95">
        <f>560000000+6361000+7703000</f>
        <v>574064000</v>
      </c>
      <c r="S269" s="96"/>
      <c r="T269" s="206"/>
      <c r="U269" s="98" t="s">
        <v>113000</v>
      </c>
    </row>
    <row r="270" spans="1:21" ht="45" x14ac:dyDescent="0.2">
      <c r="A270" s="310"/>
      <c r="B270" s="138"/>
      <c r="C270" s="139"/>
      <c r="D270" s="139"/>
      <c r="E270" s="139"/>
      <c r="F270" s="139"/>
      <c r="G270" s="139"/>
      <c r="H270" s="139"/>
      <c r="I270" s="139"/>
      <c r="J270" s="140"/>
      <c r="K270" s="140" t="s">
        <v>112595</v>
      </c>
      <c r="L270" s="55">
        <v>76111500</v>
      </c>
      <c r="M270" s="92" t="s">
        <v>113301</v>
      </c>
      <c r="N270" s="93"/>
      <c r="O270" s="93"/>
      <c r="P270" s="132"/>
      <c r="Q270" s="94"/>
      <c r="R270" s="95">
        <f>40450000+55319000</f>
        <v>95769000</v>
      </c>
      <c r="S270" s="96"/>
      <c r="T270" s="206"/>
      <c r="U270" s="98" t="s">
        <v>113000</v>
      </c>
    </row>
    <row r="271" spans="1:21" ht="30" x14ac:dyDescent="0.2">
      <c r="A271" s="310"/>
      <c r="B271" s="138"/>
      <c r="C271" s="139"/>
      <c r="D271" s="139"/>
      <c r="E271" s="139"/>
      <c r="F271" s="139"/>
      <c r="G271" s="139"/>
      <c r="H271" s="139"/>
      <c r="I271" s="139"/>
      <c r="J271" s="140"/>
      <c r="K271" s="140" t="s">
        <v>112595</v>
      </c>
      <c r="L271" s="55">
        <v>76111500</v>
      </c>
      <c r="M271" s="92" t="s">
        <v>113302</v>
      </c>
      <c r="N271" s="93">
        <v>45381</v>
      </c>
      <c r="O271" s="93" t="s">
        <v>113006</v>
      </c>
      <c r="P271" s="132" t="s">
        <v>113045</v>
      </c>
      <c r="Q271" s="94" t="s">
        <v>113041</v>
      </c>
      <c r="R271" s="95">
        <f>840000000-6361000-55319000</f>
        <v>778320000</v>
      </c>
      <c r="S271" s="96"/>
      <c r="T271" s="206"/>
      <c r="U271" s="98" t="s">
        <v>113000</v>
      </c>
    </row>
    <row r="272" spans="1:21" ht="45" x14ac:dyDescent="0.2">
      <c r="A272" s="310"/>
      <c r="B272" s="138"/>
      <c r="C272" s="139"/>
      <c r="D272" s="139"/>
      <c r="E272" s="139"/>
      <c r="F272" s="139"/>
      <c r="G272" s="139"/>
      <c r="H272" s="139"/>
      <c r="I272" s="139"/>
      <c r="J272" s="140"/>
      <c r="K272" s="140" t="s">
        <v>112595</v>
      </c>
      <c r="L272" s="55">
        <v>76111500</v>
      </c>
      <c r="M272" s="92" t="s">
        <v>113303</v>
      </c>
      <c r="N272" s="93">
        <v>45381</v>
      </c>
      <c r="O272" s="93" t="s">
        <v>113006</v>
      </c>
      <c r="P272" s="132" t="s">
        <v>113045</v>
      </c>
      <c r="Q272" s="94" t="s">
        <v>113041</v>
      </c>
      <c r="R272" s="95">
        <f>71872000+55000000+15134000</f>
        <v>142006000</v>
      </c>
      <c r="S272" s="96"/>
      <c r="T272" s="206"/>
      <c r="U272" s="98" t="s">
        <v>113000</v>
      </c>
    </row>
    <row r="273" spans="1:21" ht="45" x14ac:dyDescent="0.2">
      <c r="A273" s="310"/>
      <c r="B273" s="138"/>
      <c r="C273" s="139"/>
      <c r="D273" s="139"/>
      <c r="E273" s="139"/>
      <c r="F273" s="139"/>
      <c r="G273" s="139"/>
      <c r="H273" s="139"/>
      <c r="I273" s="139"/>
      <c r="J273" s="140"/>
      <c r="K273" s="140" t="s">
        <v>112595</v>
      </c>
      <c r="L273" s="55">
        <v>76111500</v>
      </c>
      <c r="M273" s="92" t="s">
        <v>113304</v>
      </c>
      <c r="N273" s="93">
        <v>45427</v>
      </c>
      <c r="O273" s="93" t="s">
        <v>113208</v>
      </c>
      <c r="P273" s="132" t="s">
        <v>113068</v>
      </c>
      <c r="Q273" s="94" t="s">
        <v>113041</v>
      </c>
      <c r="R273" s="95">
        <f>280000000+7032000</f>
        <v>287032000</v>
      </c>
      <c r="S273" s="96" t="s">
        <v>105533</v>
      </c>
      <c r="T273" s="325">
        <v>924000000</v>
      </c>
      <c r="U273" s="98" t="s">
        <v>113000</v>
      </c>
    </row>
    <row r="274" spans="1:21" ht="45" x14ac:dyDescent="0.2">
      <c r="A274" s="310"/>
      <c r="B274" s="138"/>
      <c r="C274" s="139"/>
      <c r="D274" s="139"/>
      <c r="E274" s="139"/>
      <c r="F274" s="139"/>
      <c r="G274" s="139"/>
      <c r="H274" s="139"/>
      <c r="I274" s="139"/>
      <c r="J274" s="140"/>
      <c r="K274" s="140" t="s">
        <v>112595</v>
      </c>
      <c r="L274" s="55">
        <v>76111500</v>
      </c>
      <c r="M274" s="92" t="s">
        <v>113305</v>
      </c>
      <c r="N274" s="93">
        <v>45427</v>
      </c>
      <c r="O274" s="93" t="s">
        <v>113208</v>
      </c>
      <c r="P274" s="132" t="s">
        <v>113068</v>
      </c>
      <c r="Q274" s="94" t="s">
        <v>113041</v>
      </c>
      <c r="R274" s="95">
        <f>22460000+30394000</f>
        <v>52854000</v>
      </c>
      <c r="S274" s="96" t="s">
        <v>105533</v>
      </c>
      <c r="T274" s="325">
        <v>74118000</v>
      </c>
      <c r="U274" s="98" t="s">
        <v>113000</v>
      </c>
    </row>
    <row r="275" spans="1:21" ht="30" x14ac:dyDescent="0.2">
      <c r="A275" s="310"/>
      <c r="B275" s="138"/>
      <c r="C275" s="139"/>
      <c r="D275" s="139"/>
      <c r="E275" s="139"/>
      <c r="F275" s="139"/>
      <c r="G275" s="139"/>
      <c r="H275" s="139"/>
      <c r="I275" s="139"/>
      <c r="J275" s="140"/>
      <c r="K275" s="140" t="s">
        <v>112595</v>
      </c>
      <c r="L275" s="91" t="s">
        <v>113153</v>
      </c>
      <c r="M275" s="92" t="s">
        <v>113154</v>
      </c>
      <c r="N275" s="93">
        <v>45413</v>
      </c>
      <c r="O275" s="93" t="s">
        <v>113208</v>
      </c>
      <c r="P275" s="132" t="s">
        <v>113155</v>
      </c>
      <c r="Q275" s="94" t="s">
        <v>113096</v>
      </c>
      <c r="R275" s="95">
        <f>80000000-7703000-7032000-30394000</f>
        <v>34871000</v>
      </c>
      <c r="S275" s="96"/>
      <c r="T275" s="206"/>
      <c r="U275" s="98" t="s">
        <v>113000</v>
      </c>
    </row>
    <row r="276" spans="1:21" ht="45" x14ac:dyDescent="0.2">
      <c r="A276" s="310"/>
      <c r="B276" s="138"/>
      <c r="C276" s="139"/>
      <c r="D276" s="139"/>
      <c r="E276" s="139"/>
      <c r="F276" s="139"/>
      <c r="G276" s="139"/>
      <c r="H276" s="139"/>
      <c r="I276" s="139"/>
      <c r="J276" s="140"/>
      <c r="K276" s="140" t="s">
        <v>112595</v>
      </c>
      <c r="L276" s="55">
        <v>72102100</v>
      </c>
      <c r="M276" s="92" t="s">
        <v>113156</v>
      </c>
      <c r="N276" s="93">
        <v>45413</v>
      </c>
      <c r="O276" s="93" t="s">
        <v>113208</v>
      </c>
      <c r="P276" s="94" t="s">
        <v>113155</v>
      </c>
      <c r="Q276" s="94" t="s">
        <v>113096</v>
      </c>
      <c r="R276" s="95">
        <v>150000000</v>
      </c>
      <c r="S276" s="96"/>
      <c r="T276" s="206"/>
      <c r="U276" s="98" t="s">
        <v>113000</v>
      </c>
    </row>
    <row r="277" spans="1:21" ht="30" x14ac:dyDescent="0.2">
      <c r="A277" s="310"/>
      <c r="B277" s="170" t="s">
        <v>105516</v>
      </c>
      <c r="C277" s="170" t="s">
        <v>105924</v>
      </c>
      <c r="D277" s="170" t="s">
        <v>105520</v>
      </c>
      <c r="E277" s="170" t="s">
        <v>105573</v>
      </c>
      <c r="F277" s="170" t="s">
        <v>105553</v>
      </c>
      <c r="G277" s="170" t="s">
        <v>105550</v>
      </c>
      <c r="H277" s="170"/>
      <c r="I277" s="170"/>
      <c r="J277" s="170"/>
      <c r="K277" s="171"/>
      <c r="L277" s="171"/>
      <c r="M277" s="172" t="s">
        <v>107092</v>
      </c>
      <c r="N277" s="173"/>
      <c r="O277" s="173" t="s">
        <v>112995</v>
      </c>
      <c r="P277" s="174"/>
      <c r="Q277" s="174"/>
      <c r="R277" s="175">
        <f>+R278</f>
        <v>116456800</v>
      </c>
      <c r="S277" s="176"/>
      <c r="T277" s="176"/>
      <c r="U277" s="177"/>
    </row>
    <row r="278" spans="1:21" ht="30" x14ac:dyDescent="0.2">
      <c r="A278" s="310"/>
      <c r="B278" s="80" t="s">
        <v>105516</v>
      </c>
      <c r="C278" s="80" t="s">
        <v>105924</v>
      </c>
      <c r="D278" s="80" t="s">
        <v>105520</v>
      </c>
      <c r="E278" s="80" t="s">
        <v>105573</v>
      </c>
      <c r="F278" s="80" t="s">
        <v>105553</v>
      </c>
      <c r="G278" s="80" t="s">
        <v>105550</v>
      </c>
      <c r="H278" s="80" t="s">
        <v>105520</v>
      </c>
      <c r="I278" s="80"/>
      <c r="J278" s="80"/>
      <c r="K278" s="80"/>
      <c r="L278" s="80"/>
      <c r="M278" s="82" t="s">
        <v>107094</v>
      </c>
      <c r="N278" s="83"/>
      <c r="O278" s="83" t="s">
        <v>112995</v>
      </c>
      <c r="P278" s="84"/>
      <c r="Q278" s="84"/>
      <c r="R278" s="85">
        <f>+R279</f>
        <v>116456800</v>
      </c>
      <c r="S278" s="86"/>
      <c r="T278" s="86"/>
      <c r="U278" s="101"/>
    </row>
    <row r="279" spans="1:21" ht="30" x14ac:dyDescent="0.2">
      <c r="A279" s="310"/>
      <c r="B279" s="80" t="s">
        <v>105516</v>
      </c>
      <c r="C279" s="80" t="s">
        <v>105924</v>
      </c>
      <c r="D279" s="80" t="s">
        <v>105520</v>
      </c>
      <c r="E279" s="80" t="s">
        <v>105573</v>
      </c>
      <c r="F279" s="80" t="s">
        <v>105553</v>
      </c>
      <c r="G279" s="80" t="s">
        <v>105550</v>
      </c>
      <c r="H279" s="80" t="s">
        <v>105520</v>
      </c>
      <c r="I279" s="80" t="s">
        <v>106217</v>
      </c>
      <c r="J279" s="80"/>
      <c r="K279" s="80"/>
      <c r="L279" s="80"/>
      <c r="M279" s="82" t="s">
        <v>107104</v>
      </c>
      <c r="N279" s="83"/>
      <c r="O279" s="83" t="s">
        <v>112995</v>
      </c>
      <c r="P279" s="84"/>
      <c r="Q279" s="84"/>
      <c r="R279" s="85">
        <f>SUM(R280:R281)</f>
        <v>116456800</v>
      </c>
      <c r="S279" s="86"/>
      <c r="T279" s="86"/>
      <c r="U279" s="101"/>
    </row>
    <row r="280" spans="1:21" ht="45" x14ac:dyDescent="0.2">
      <c r="A280" s="310"/>
      <c r="B280" s="88"/>
      <c r="C280" s="89"/>
      <c r="D280" s="89"/>
      <c r="E280" s="89"/>
      <c r="F280" s="89"/>
      <c r="G280" s="89"/>
      <c r="H280" s="89"/>
      <c r="I280" s="89"/>
      <c r="J280" s="90"/>
      <c r="K280" s="90" t="s">
        <v>112614</v>
      </c>
      <c r="L280" s="91" t="s">
        <v>113244</v>
      </c>
      <c r="M280" s="92" t="s">
        <v>113158</v>
      </c>
      <c r="N280" s="93">
        <v>45425</v>
      </c>
      <c r="O280" s="93" t="s">
        <v>113087</v>
      </c>
      <c r="P280" s="94" t="s">
        <v>113028</v>
      </c>
      <c r="Q280" s="94" t="s">
        <v>113038</v>
      </c>
      <c r="R280" s="95">
        <v>116456800</v>
      </c>
      <c r="S280" s="96"/>
      <c r="T280" s="97"/>
      <c r="U280" s="98" t="s">
        <v>113019</v>
      </c>
    </row>
    <row r="281" spans="1:21" ht="45" x14ac:dyDescent="0.2">
      <c r="A281" s="310"/>
      <c r="B281" s="138"/>
      <c r="C281" s="139"/>
      <c r="D281" s="139"/>
      <c r="E281" s="139"/>
      <c r="F281" s="139"/>
      <c r="G281" s="139"/>
      <c r="H281" s="139"/>
      <c r="I281" s="139"/>
      <c r="J281" s="139"/>
      <c r="K281" s="139" t="s">
        <v>112614</v>
      </c>
      <c r="L281" s="207">
        <v>73152100</v>
      </c>
      <c r="M281" s="120" t="s">
        <v>113157</v>
      </c>
      <c r="N281" s="121">
        <v>45444</v>
      </c>
      <c r="O281" s="93" t="s">
        <v>113010</v>
      </c>
      <c r="P281" s="94" t="s">
        <v>113007</v>
      </c>
      <c r="Q281" s="132" t="s">
        <v>112999</v>
      </c>
      <c r="R281" s="95">
        <f>55000000-55000000</f>
        <v>0</v>
      </c>
      <c r="S281" s="96"/>
      <c r="T281" s="97"/>
      <c r="U281" s="98" t="s">
        <v>113000</v>
      </c>
    </row>
    <row r="282" spans="1:21" ht="45" x14ac:dyDescent="0.2">
      <c r="A282" s="310"/>
      <c r="B282" s="63" t="s">
        <v>105516</v>
      </c>
      <c r="C282" s="63" t="s">
        <v>105924</v>
      </c>
      <c r="D282" s="63" t="s">
        <v>105520</v>
      </c>
      <c r="E282" s="63" t="s">
        <v>105573</v>
      </c>
      <c r="F282" s="63" t="s">
        <v>105556</v>
      </c>
      <c r="G282" s="63"/>
      <c r="H282" s="63"/>
      <c r="I282" s="63"/>
      <c r="J282" s="63"/>
      <c r="K282" s="64"/>
      <c r="L282" s="65"/>
      <c r="M282" s="66" t="s">
        <v>107192</v>
      </c>
      <c r="N282" s="67"/>
      <c r="O282" s="67"/>
      <c r="P282" s="68"/>
      <c r="Q282" s="68"/>
      <c r="R282" s="69">
        <f>+R283</f>
        <v>4866000</v>
      </c>
      <c r="S282" s="70"/>
      <c r="T282" s="70"/>
      <c r="U282" s="71"/>
    </row>
    <row r="283" spans="1:21" ht="28.5" customHeight="1" x14ac:dyDescent="0.2">
      <c r="A283" s="310"/>
      <c r="B283" s="170" t="s">
        <v>105516</v>
      </c>
      <c r="C283" s="170" t="s">
        <v>105924</v>
      </c>
      <c r="D283" s="170" t="s">
        <v>105520</v>
      </c>
      <c r="E283" s="170" t="s">
        <v>105573</v>
      </c>
      <c r="F283" s="191" t="s">
        <v>105556</v>
      </c>
      <c r="G283" s="191" t="s">
        <v>105541</v>
      </c>
      <c r="H283" s="170"/>
      <c r="I283" s="170"/>
      <c r="J283" s="170"/>
      <c r="K283" s="171"/>
      <c r="L283" s="171"/>
      <c r="M283" s="172" t="s">
        <v>107192</v>
      </c>
      <c r="N283" s="173"/>
      <c r="O283" s="173"/>
      <c r="P283" s="174"/>
      <c r="Q283" s="174"/>
      <c r="R283" s="175">
        <f>+R284</f>
        <v>4866000</v>
      </c>
      <c r="S283" s="176"/>
      <c r="T283" s="176"/>
      <c r="U283" s="177"/>
    </row>
    <row r="284" spans="1:21" ht="28.5" customHeight="1" x14ac:dyDescent="0.2">
      <c r="A284" s="310"/>
      <c r="B284" s="80" t="s">
        <v>105516</v>
      </c>
      <c r="C284" s="80" t="s">
        <v>105924</v>
      </c>
      <c r="D284" s="80" t="s">
        <v>105520</v>
      </c>
      <c r="E284" s="80" t="s">
        <v>105573</v>
      </c>
      <c r="F284" s="81" t="s">
        <v>105556</v>
      </c>
      <c r="G284" s="81" t="s">
        <v>105541</v>
      </c>
      <c r="H284" s="81" t="s">
        <v>106109</v>
      </c>
      <c r="I284" s="80"/>
      <c r="J284" s="80"/>
      <c r="K284" s="80"/>
      <c r="L284" s="80"/>
      <c r="M284" s="82" t="s">
        <v>107204</v>
      </c>
      <c r="N284" s="83"/>
      <c r="O284" s="83"/>
      <c r="P284" s="84"/>
      <c r="Q284" s="84"/>
      <c r="R284" s="85">
        <f>+R285</f>
        <v>4866000</v>
      </c>
      <c r="S284" s="86"/>
      <c r="T284" s="86"/>
      <c r="U284" s="101"/>
    </row>
    <row r="285" spans="1:21" ht="45" x14ac:dyDescent="0.2">
      <c r="A285" s="310"/>
      <c r="B285" s="88"/>
      <c r="C285" s="89"/>
      <c r="D285" s="89"/>
      <c r="E285" s="89"/>
      <c r="F285" s="89"/>
      <c r="G285" s="89"/>
      <c r="H285" s="89"/>
      <c r="I285" s="89"/>
      <c r="J285" s="90"/>
      <c r="K285" s="90"/>
      <c r="L285" s="91" t="s">
        <v>113306</v>
      </c>
      <c r="M285" s="92" t="s">
        <v>113307</v>
      </c>
      <c r="N285" s="93">
        <v>45444</v>
      </c>
      <c r="O285" s="93" t="s">
        <v>113010</v>
      </c>
      <c r="P285" s="94" t="s">
        <v>113007</v>
      </c>
      <c r="Q285" s="94" t="s">
        <v>113052</v>
      </c>
      <c r="R285" s="95">
        <f>20000000-15134000</f>
        <v>4866000</v>
      </c>
      <c r="S285" s="96"/>
      <c r="T285" s="97"/>
      <c r="U285" s="98" t="s">
        <v>113000</v>
      </c>
    </row>
    <row r="286" spans="1:21" ht="15.75" x14ac:dyDescent="0.2">
      <c r="A286" s="310"/>
      <c r="B286" s="208" t="s">
        <v>105516</v>
      </c>
      <c r="C286" s="208" t="s">
        <v>106103</v>
      </c>
      <c r="D286" s="208"/>
      <c r="E286" s="208"/>
      <c r="F286" s="208"/>
      <c r="G286" s="208"/>
      <c r="H286" s="208"/>
      <c r="I286" s="208"/>
      <c r="J286" s="208"/>
      <c r="K286" s="209"/>
      <c r="L286" s="210"/>
      <c r="M286" s="211" t="s">
        <v>112750</v>
      </c>
      <c r="N286" s="212"/>
      <c r="O286" s="212" t="s">
        <v>112995</v>
      </c>
      <c r="P286" s="213"/>
      <c r="Q286" s="213"/>
      <c r="R286" s="214">
        <f>SUM(R287+R289)</f>
        <v>5718000000</v>
      </c>
      <c r="S286" s="215"/>
      <c r="T286" s="215"/>
      <c r="U286" s="216"/>
    </row>
    <row r="287" spans="1:21" ht="15.75" x14ac:dyDescent="0.2">
      <c r="A287" s="310"/>
      <c r="B287" s="217" t="s">
        <v>105516</v>
      </c>
      <c r="C287" s="217" t="s">
        <v>106103</v>
      </c>
      <c r="D287" s="217" t="s">
        <v>105520</v>
      </c>
      <c r="E287" s="217"/>
      <c r="F287" s="217"/>
      <c r="G287" s="217"/>
      <c r="H287" s="217"/>
      <c r="I287" s="217"/>
      <c r="J287" s="217"/>
      <c r="K287" s="218"/>
      <c r="L287" s="218"/>
      <c r="M287" s="219" t="s">
        <v>112752</v>
      </c>
      <c r="N287" s="220"/>
      <c r="O287" s="220" t="s">
        <v>112995</v>
      </c>
      <c r="P287" s="221"/>
      <c r="Q287" s="221"/>
      <c r="R287" s="222">
        <f>+R288</f>
        <v>118000000</v>
      </c>
      <c r="S287" s="223"/>
      <c r="T287" s="223"/>
      <c r="U287" s="224"/>
    </row>
    <row r="288" spans="1:21" ht="15.75" x14ac:dyDescent="0.2">
      <c r="A288" s="310"/>
      <c r="B288" s="225"/>
      <c r="C288" s="226"/>
      <c r="D288" s="226"/>
      <c r="E288" s="226"/>
      <c r="F288" s="226"/>
      <c r="G288" s="226"/>
      <c r="H288" s="226"/>
      <c r="I288" s="226"/>
      <c r="J288" s="227"/>
      <c r="K288" s="90" t="s">
        <v>112751</v>
      </c>
      <c r="L288" s="228"/>
      <c r="M288" s="102" t="s">
        <v>112752</v>
      </c>
      <c r="N288" s="94"/>
      <c r="O288" s="94"/>
      <c r="P288" s="94"/>
      <c r="Q288" s="94"/>
      <c r="R288" s="95">
        <v>118000000</v>
      </c>
      <c r="S288" s="96"/>
      <c r="T288" s="201"/>
      <c r="U288" s="202" t="s">
        <v>113012</v>
      </c>
    </row>
    <row r="289" spans="1:21" ht="15.75" x14ac:dyDescent="0.2">
      <c r="A289" s="310"/>
      <c r="B289" s="217" t="s">
        <v>105516</v>
      </c>
      <c r="C289" s="217" t="s">
        <v>106103</v>
      </c>
      <c r="D289" s="217" t="s">
        <v>105675</v>
      </c>
      <c r="E289" s="217"/>
      <c r="F289" s="217"/>
      <c r="G289" s="217"/>
      <c r="H289" s="217"/>
      <c r="I289" s="217"/>
      <c r="J289" s="217"/>
      <c r="K289" s="218"/>
      <c r="L289" s="218"/>
      <c r="M289" s="219" t="s">
        <v>112762</v>
      </c>
      <c r="N289" s="220"/>
      <c r="O289" s="220" t="s">
        <v>112995</v>
      </c>
      <c r="P289" s="221"/>
      <c r="Q289" s="221"/>
      <c r="R289" s="222">
        <f>+R290</f>
        <v>5600000000</v>
      </c>
      <c r="S289" s="223"/>
      <c r="T289" s="223"/>
      <c r="U289" s="224"/>
    </row>
    <row r="290" spans="1:21" ht="15.75" x14ac:dyDescent="0.2">
      <c r="A290" s="310"/>
      <c r="B290" s="225"/>
      <c r="C290" s="226"/>
      <c r="D290" s="226"/>
      <c r="E290" s="226"/>
      <c r="F290" s="226"/>
      <c r="G290" s="226"/>
      <c r="H290" s="226"/>
      <c r="I290" s="226"/>
      <c r="J290" s="227"/>
      <c r="K290" s="90" t="s">
        <v>112761</v>
      </c>
      <c r="L290" s="228"/>
      <c r="M290" s="102" t="s">
        <v>113159</v>
      </c>
      <c r="N290" s="94"/>
      <c r="O290" s="94" t="s">
        <v>113031</v>
      </c>
      <c r="P290" s="94"/>
      <c r="Q290" s="94"/>
      <c r="R290" s="95">
        <v>5600000000</v>
      </c>
      <c r="S290" s="96"/>
      <c r="T290" s="201"/>
      <c r="U290" s="202" t="s">
        <v>113064</v>
      </c>
    </row>
    <row r="291" spans="1:21" ht="15.75" x14ac:dyDescent="0.2">
      <c r="A291" s="310"/>
      <c r="B291" s="229" t="s">
        <v>105516</v>
      </c>
      <c r="C291" s="229" t="s">
        <v>106106</v>
      </c>
      <c r="D291" s="229"/>
      <c r="E291" s="229"/>
      <c r="F291" s="229"/>
      <c r="G291" s="229"/>
      <c r="H291" s="229"/>
      <c r="I291" s="229"/>
      <c r="J291" s="229"/>
      <c r="K291" s="230"/>
      <c r="L291" s="231"/>
      <c r="M291" s="232" t="s">
        <v>112766</v>
      </c>
      <c r="N291" s="233"/>
      <c r="O291" s="233" t="s">
        <v>112995</v>
      </c>
      <c r="P291" s="234"/>
      <c r="Q291" s="234"/>
      <c r="R291" s="235">
        <f>SUM(R292+R300+R303)</f>
        <v>4192000000</v>
      </c>
      <c r="S291" s="236"/>
      <c r="T291" s="236"/>
      <c r="U291" s="237"/>
    </row>
    <row r="292" spans="1:21" ht="15.75" x14ac:dyDescent="0.2">
      <c r="A292" s="310"/>
      <c r="B292" s="238" t="s">
        <v>105516</v>
      </c>
      <c r="C292" s="238" t="s">
        <v>106106</v>
      </c>
      <c r="D292" s="238" t="s">
        <v>105520</v>
      </c>
      <c r="E292" s="238"/>
      <c r="F292" s="238"/>
      <c r="G292" s="238"/>
      <c r="H292" s="238"/>
      <c r="I292" s="238"/>
      <c r="J292" s="238"/>
      <c r="K292" s="239"/>
      <c r="L292" s="239"/>
      <c r="M292" s="240" t="s">
        <v>112768</v>
      </c>
      <c r="N292" s="241"/>
      <c r="O292" s="241" t="s">
        <v>112995</v>
      </c>
      <c r="P292" s="242"/>
      <c r="Q292" s="242"/>
      <c r="R292" s="243">
        <f>+R293</f>
        <v>3757000000</v>
      </c>
      <c r="S292" s="244"/>
      <c r="T292" s="244"/>
      <c r="U292" s="245"/>
    </row>
    <row r="293" spans="1:21" x14ac:dyDescent="0.2">
      <c r="A293" s="310"/>
      <c r="B293" s="246" t="s">
        <v>105516</v>
      </c>
      <c r="C293" s="246" t="s">
        <v>106106</v>
      </c>
      <c r="D293" s="246" t="s">
        <v>105520</v>
      </c>
      <c r="E293" s="246" t="s">
        <v>105573</v>
      </c>
      <c r="F293" s="246"/>
      <c r="G293" s="246"/>
      <c r="H293" s="246"/>
      <c r="I293" s="246"/>
      <c r="J293" s="246"/>
      <c r="K293" s="247"/>
      <c r="L293" s="247"/>
      <c r="M293" s="248" t="s">
        <v>112780</v>
      </c>
      <c r="N293" s="249"/>
      <c r="O293" s="249" t="s">
        <v>112995</v>
      </c>
      <c r="P293" s="250"/>
      <c r="Q293" s="250"/>
      <c r="R293" s="251">
        <f>+R294+R296+R298</f>
        <v>3757000000</v>
      </c>
      <c r="S293" s="252"/>
      <c r="T293" s="252"/>
      <c r="U293" s="253"/>
    </row>
    <row r="294" spans="1:21" x14ac:dyDescent="0.2">
      <c r="A294" s="310"/>
      <c r="B294" s="254" t="s">
        <v>105516</v>
      </c>
      <c r="C294" s="254" t="s">
        <v>106106</v>
      </c>
      <c r="D294" s="254" t="s">
        <v>105520</v>
      </c>
      <c r="E294" s="254" t="s">
        <v>105573</v>
      </c>
      <c r="F294" s="254" t="s">
        <v>105528</v>
      </c>
      <c r="G294" s="254"/>
      <c r="H294" s="254"/>
      <c r="I294" s="254"/>
      <c r="J294" s="254"/>
      <c r="K294" s="65"/>
      <c r="L294" s="65"/>
      <c r="M294" s="66" t="s">
        <v>113160</v>
      </c>
      <c r="N294" s="67"/>
      <c r="O294" s="67" t="s">
        <v>112995</v>
      </c>
      <c r="P294" s="68"/>
      <c r="Q294" s="68"/>
      <c r="R294" s="69">
        <f>+R295</f>
        <v>3663000000</v>
      </c>
      <c r="S294" s="70"/>
      <c r="T294" s="70"/>
      <c r="U294" s="71"/>
    </row>
    <row r="295" spans="1:21" x14ac:dyDescent="0.2">
      <c r="A295" s="310"/>
      <c r="B295" s="88"/>
      <c r="C295" s="89"/>
      <c r="D295" s="89"/>
      <c r="E295" s="89"/>
      <c r="F295" s="89"/>
      <c r="G295" s="89"/>
      <c r="H295" s="89"/>
      <c r="I295" s="89"/>
      <c r="J295" s="90"/>
      <c r="K295" s="90" t="s">
        <v>112781</v>
      </c>
      <c r="L295" s="255"/>
      <c r="M295" s="102" t="str">
        <f>+M294</f>
        <v>IMPUESTO PREDIAL</v>
      </c>
      <c r="N295" s="94"/>
      <c r="O295" s="94"/>
      <c r="P295" s="94"/>
      <c r="Q295" s="94"/>
      <c r="R295" s="205">
        <v>3663000000</v>
      </c>
      <c r="S295" s="96"/>
      <c r="T295" s="256"/>
      <c r="U295" s="202"/>
    </row>
    <row r="296" spans="1:21" x14ac:dyDescent="0.2">
      <c r="A296" s="310"/>
      <c r="B296" s="254" t="s">
        <v>105516</v>
      </c>
      <c r="C296" s="254" t="s">
        <v>106106</v>
      </c>
      <c r="D296" s="254" t="s">
        <v>105520</v>
      </c>
      <c r="E296" s="254" t="s">
        <v>105573</v>
      </c>
      <c r="F296" s="254" t="s">
        <v>105538</v>
      </c>
      <c r="G296" s="254"/>
      <c r="H296" s="254"/>
      <c r="I296" s="254"/>
      <c r="J296" s="254"/>
      <c r="K296" s="65"/>
      <c r="L296" s="65"/>
      <c r="M296" s="66" t="s">
        <v>112786</v>
      </c>
      <c r="N296" s="67"/>
      <c r="O296" s="67" t="s">
        <v>112995</v>
      </c>
      <c r="P296" s="68"/>
      <c r="Q296" s="68"/>
      <c r="R296" s="69">
        <f>+R297</f>
        <v>90000000</v>
      </c>
      <c r="S296" s="70"/>
      <c r="T296" s="70"/>
      <c r="U296" s="71"/>
    </row>
    <row r="297" spans="1:21" x14ac:dyDescent="0.2">
      <c r="A297" s="310"/>
      <c r="B297" s="88"/>
      <c r="C297" s="89"/>
      <c r="D297" s="89"/>
      <c r="E297" s="89"/>
      <c r="F297" s="89"/>
      <c r="G297" s="89"/>
      <c r="H297" s="89"/>
      <c r="I297" s="89"/>
      <c r="J297" s="90"/>
      <c r="K297" s="90" t="s">
        <v>112785</v>
      </c>
      <c r="L297" s="128"/>
      <c r="M297" s="92" t="str">
        <f>+M296</f>
        <v>IMPUESTO DE INDUSTRIA Y COMERCIO</v>
      </c>
      <c r="N297" s="94"/>
      <c r="O297" s="94"/>
      <c r="P297" s="94"/>
      <c r="Q297" s="94"/>
      <c r="R297" s="95">
        <v>90000000</v>
      </c>
      <c r="S297" s="96"/>
      <c r="T297" s="97"/>
      <c r="U297" s="98"/>
    </row>
    <row r="298" spans="1:21" x14ac:dyDescent="0.2">
      <c r="A298" s="310"/>
      <c r="B298" s="254" t="s">
        <v>105516</v>
      </c>
      <c r="C298" s="254" t="s">
        <v>106106</v>
      </c>
      <c r="D298" s="254" t="s">
        <v>105520</v>
      </c>
      <c r="E298" s="254" t="s">
        <v>105573</v>
      </c>
      <c r="F298" s="254" t="s">
        <v>105547</v>
      </c>
      <c r="G298" s="254"/>
      <c r="H298" s="254"/>
      <c r="I298" s="254"/>
      <c r="J298" s="254"/>
      <c r="K298" s="65"/>
      <c r="L298" s="65"/>
      <c r="M298" s="66" t="s">
        <v>112792</v>
      </c>
      <c r="N298" s="67"/>
      <c r="O298" s="67" t="s">
        <v>112995</v>
      </c>
      <c r="P298" s="68"/>
      <c r="Q298" s="68"/>
      <c r="R298" s="69">
        <f>+R299</f>
        <v>4000000</v>
      </c>
      <c r="S298" s="70"/>
      <c r="T298" s="70"/>
      <c r="U298" s="71"/>
    </row>
    <row r="299" spans="1:21" x14ac:dyDescent="0.2">
      <c r="A299" s="310"/>
      <c r="B299" s="88"/>
      <c r="C299" s="89"/>
      <c r="D299" s="89"/>
      <c r="E299" s="89"/>
      <c r="F299" s="89"/>
      <c r="G299" s="89"/>
      <c r="H299" s="89"/>
      <c r="I299" s="89"/>
      <c r="J299" s="90"/>
      <c r="K299" s="90" t="s">
        <v>112791</v>
      </c>
      <c r="L299" s="128"/>
      <c r="M299" s="92" t="str">
        <f>+M298</f>
        <v>IMPUESTO SOBRE VEHÍCULOS AUTOMOTORES</v>
      </c>
      <c r="N299" s="94"/>
      <c r="O299" s="94"/>
      <c r="P299" s="94"/>
      <c r="Q299" s="94"/>
      <c r="R299" s="95">
        <v>4000000</v>
      </c>
      <c r="S299" s="96"/>
      <c r="T299" s="97"/>
      <c r="U299" s="98"/>
    </row>
    <row r="300" spans="1:21" ht="15.75" x14ac:dyDescent="0.2">
      <c r="A300" s="310"/>
      <c r="B300" s="238" t="s">
        <v>105516</v>
      </c>
      <c r="C300" s="238" t="s">
        <v>106106</v>
      </c>
      <c r="D300" s="238" t="s">
        <v>105917</v>
      </c>
      <c r="E300" s="238"/>
      <c r="F300" s="238"/>
      <c r="G300" s="238"/>
      <c r="H300" s="238"/>
      <c r="I300" s="238"/>
      <c r="J300" s="238"/>
      <c r="K300" s="239"/>
      <c r="L300" s="239"/>
      <c r="M300" s="240" t="s">
        <v>112804</v>
      </c>
      <c r="N300" s="241"/>
      <c r="O300" s="241" t="s">
        <v>112995</v>
      </c>
      <c r="P300" s="242"/>
      <c r="Q300" s="242"/>
      <c r="R300" s="243">
        <f>+R301+R302</f>
        <v>382000000</v>
      </c>
      <c r="S300" s="244"/>
      <c r="T300" s="244"/>
      <c r="U300" s="245"/>
    </row>
    <row r="301" spans="1:21" x14ac:dyDescent="0.2">
      <c r="A301" s="310"/>
      <c r="B301" s="246" t="s">
        <v>105516</v>
      </c>
      <c r="C301" s="246" t="s">
        <v>106106</v>
      </c>
      <c r="D301" s="246" t="s">
        <v>105917</v>
      </c>
      <c r="E301" s="246" t="s">
        <v>105520</v>
      </c>
      <c r="F301" s="246"/>
      <c r="G301" s="246"/>
      <c r="H301" s="246"/>
      <c r="I301" s="246"/>
      <c r="J301" s="246"/>
      <c r="K301" s="257" t="s">
        <v>112805</v>
      </c>
      <c r="L301" s="247"/>
      <c r="M301" s="248" t="s">
        <v>112806</v>
      </c>
      <c r="N301" s="249" t="s">
        <v>112995</v>
      </c>
      <c r="O301" s="249" t="s">
        <v>113031</v>
      </c>
      <c r="P301" s="250"/>
      <c r="Q301" s="250"/>
      <c r="R301" s="258">
        <v>136000000</v>
      </c>
      <c r="S301" s="246"/>
      <c r="T301" s="259"/>
      <c r="U301" s="253"/>
    </row>
    <row r="302" spans="1:21" x14ac:dyDescent="0.2">
      <c r="A302" s="310"/>
      <c r="B302" s="246" t="s">
        <v>105516</v>
      </c>
      <c r="C302" s="246" t="s">
        <v>106106</v>
      </c>
      <c r="D302" s="246" t="s">
        <v>105917</v>
      </c>
      <c r="E302" s="246" t="s">
        <v>105917</v>
      </c>
      <c r="F302" s="246"/>
      <c r="G302" s="246"/>
      <c r="H302" s="246"/>
      <c r="I302" s="246"/>
      <c r="J302" s="246"/>
      <c r="K302" s="257" t="s">
        <v>112811</v>
      </c>
      <c r="L302" s="247"/>
      <c r="M302" s="248" t="s">
        <v>113162</v>
      </c>
      <c r="N302" s="249"/>
      <c r="O302" s="249"/>
      <c r="P302" s="250"/>
      <c r="Q302" s="250"/>
      <c r="R302" s="258">
        <v>246000000</v>
      </c>
      <c r="S302" s="246"/>
      <c r="T302" s="259"/>
      <c r="U302" s="253"/>
    </row>
    <row r="303" spans="1:21" ht="15.75" x14ac:dyDescent="0.2">
      <c r="A303" s="310"/>
      <c r="B303" s="238" t="s">
        <v>105516</v>
      </c>
      <c r="C303" s="238" t="s">
        <v>106106</v>
      </c>
      <c r="D303" s="260" t="s">
        <v>105924</v>
      </c>
      <c r="E303" s="238"/>
      <c r="F303" s="238"/>
      <c r="G303" s="238"/>
      <c r="H303" s="238"/>
      <c r="I303" s="238"/>
      <c r="J303" s="238"/>
      <c r="K303" s="238"/>
      <c r="L303" s="239"/>
      <c r="M303" s="240" t="s">
        <v>112822</v>
      </c>
      <c r="N303" s="241"/>
      <c r="O303" s="241" t="s">
        <v>112995</v>
      </c>
      <c r="P303" s="242"/>
      <c r="Q303" s="242"/>
      <c r="R303" s="243">
        <f>+R304</f>
        <v>53000000</v>
      </c>
      <c r="S303" s="244"/>
      <c r="T303" s="244"/>
      <c r="U303" s="245"/>
    </row>
    <row r="304" spans="1:21" x14ac:dyDescent="0.2">
      <c r="A304" s="310"/>
      <c r="B304" s="246" t="s">
        <v>105516</v>
      </c>
      <c r="C304" s="246" t="s">
        <v>106106</v>
      </c>
      <c r="D304" s="261" t="s">
        <v>105924</v>
      </c>
      <c r="E304" s="246"/>
      <c r="F304" s="246"/>
      <c r="G304" s="246"/>
      <c r="H304" s="246"/>
      <c r="I304" s="246"/>
      <c r="J304" s="246"/>
      <c r="K304" s="247"/>
      <c r="L304" s="247"/>
      <c r="M304" s="248" t="s">
        <v>112822</v>
      </c>
      <c r="N304" s="249" t="s">
        <v>112995</v>
      </c>
      <c r="O304" s="249" t="s">
        <v>113031</v>
      </c>
      <c r="P304" s="250"/>
      <c r="Q304" s="250"/>
      <c r="R304" s="258">
        <v>53000000</v>
      </c>
      <c r="S304" s="246"/>
      <c r="T304" s="259"/>
      <c r="U304" s="253"/>
    </row>
    <row r="305" spans="1:21" ht="15.75" x14ac:dyDescent="0.2">
      <c r="A305" s="310"/>
      <c r="B305" s="262" t="s">
        <v>113163</v>
      </c>
      <c r="C305" s="262"/>
      <c r="D305" s="262"/>
      <c r="E305" s="262"/>
      <c r="F305" s="262"/>
      <c r="G305" s="262"/>
      <c r="H305" s="262"/>
      <c r="I305" s="262"/>
      <c r="J305" s="262"/>
      <c r="K305" s="263"/>
      <c r="L305" s="263"/>
      <c r="M305" s="264" t="s">
        <v>113164</v>
      </c>
      <c r="N305" s="265"/>
      <c r="O305" s="265" t="s">
        <v>112995</v>
      </c>
      <c r="P305" s="266"/>
      <c r="Q305" s="266"/>
      <c r="R305" s="267">
        <f>+R306</f>
        <v>38560000000</v>
      </c>
      <c r="S305" s="268">
        <v>38560000000</v>
      </c>
      <c r="T305" s="268">
        <f>+R305-S305</f>
        <v>0</v>
      </c>
      <c r="U305" s="269"/>
    </row>
    <row r="306" spans="1:21" ht="15.75" x14ac:dyDescent="0.2">
      <c r="A306" s="310"/>
      <c r="B306" s="270" t="s">
        <v>113163</v>
      </c>
      <c r="C306" s="270"/>
      <c r="D306" s="270" t="s">
        <v>113165</v>
      </c>
      <c r="E306" s="270"/>
      <c r="F306" s="270"/>
      <c r="G306" s="270"/>
      <c r="H306" s="270"/>
      <c r="I306" s="270"/>
      <c r="J306" s="270"/>
      <c r="K306" s="271"/>
      <c r="L306" s="271"/>
      <c r="M306" s="272" t="s">
        <v>113166</v>
      </c>
      <c r="N306" s="273"/>
      <c r="O306" s="273" t="s">
        <v>112995</v>
      </c>
      <c r="P306" s="274"/>
      <c r="Q306" s="274"/>
      <c r="R306" s="275">
        <f>+R307</f>
        <v>38560000000</v>
      </c>
      <c r="S306" s="276"/>
      <c r="T306" s="276"/>
      <c r="U306" s="277"/>
    </row>
    <row r="307" spans="1:21" ht="15.75" x14ac:dyDescent="0.2">
      <c r="A307" s="310"/>
      <c r="B307" s="278" t="s">
        <v>113163</v>
      </c>
      <c r="C307" s="278"/>
      <c r="D307" s="278" t="s">
        <v>113165</v>
      </c>
      <c r="E307" s="278"/>
      <c r="F307" s="278" t="s">
        <v>113167</v>
      </c>
      <c r="G307" s="278"/>
      <c r="H307" s="278"/>
      <c r="I307" s="278"/>
      <c r="J307" s="278"/>
      <c r="K307" s="279"/>
      <c r="L307" s="279"/>
      <c r="M307" s="280" t="s">
        <v>113168</v>
      </c>
      <c r="N307" s="281"/>
      <c r="O307" s="281" t="s">
        <v>112995</v>
      </c>
      <c r="P307" s="282"/>
      <c r="Q307" s="282"/>
      <c r="R307" s="283">
        <f>+R308+R324</f>
        <v>38560000000</v>
      </c>
      <c r="S307" s="284"/>
      <c r="T307" s="284"/>
      <c r="U307" s="285"/>
    </row>
    <row r="308" spans="1:21" ht="15.75" x14ac:dyDescent="0.2">
      <c r="A308" s="310"/>
      <c r="B308" s="254" t="s">
        <v>113163</v>
      </c>
      <c r="C308" s="254"/>
      <c r="D308" s="254" t="s">
        <v>113165</v>
      </c>
      <c r="E308" s="254"/>
      <c r="F308" s="254" t="s">
        <v>113167</v>
      </c>
      <c r="G308" s="254"/>
      <c r="H308" s="254">
        <v>4</v>
      </c>
      <c r="I308" s="254"/>
      <c r="J308" s="254"/>
      <c r="K308" s="65"/>
      <c r="L308" s="65"/>
      <c r="M308" s="66" t="s">
        <v>113169</v>
      </c>
      <c r="N308" s="67"/>
      <c r="O308" s="67" t="s">
        <v>112995</v>
      </c>
      <c r="P308" s="68"/>
      <c r="Q308" s="68"/>
      <c r="R308" s="286">
        <f>+R309</f>
        <v>17765000000</v>
      </c>
      <c r="S308" s="287">
        <v>17765000000</v>
      </c>
      <c r="T308" s="287">
        <f>+R308-S308</f>
        <v>0</v>
      </c>
      <c r="U308" s="288"/>
    </row>
    <row r="309" spans="1:21" ht="15.75" x14ac:dyDescent="0.2">
      <c r="A309" s="310"/>
      <c r="B309" s="289" t="s">
        <v>105516</v>
      </c>
      <c r="C309" s="289"/>
      <c r="D309" s="289"/>
      <c r="E309" s="289"/>
      <c r="F309" s="289"/>
      <c r="G309" s="289"/>
      <c r="H309" s="289"/>
      <c r="I309" s="289"/>
      <c r="J309" s="289"/>
      <c r="K309" s="35"/>
      <c r="L309" s="35"/>
      <c r="M309" s="36" t="s">
        <v>112994</v>
      </c>
      <c r="N309" s="290"/>
      <c r="O309" s="290" t="s">
        <v>112995</v>
      </c>
      <c r="P309" s="291"/>
      <c r="Q309" s="291"/>
      <c r="R309" s="39">
        <f>SUM(R310:R323)</f>
        <v>17765000000</v>
      </c>
      <c r="S309" s="40"/>
      <c r="T309" s="40"/>
      <c r="U309" s="292"/>
    </row>
    <row r="310" spans="1:21" ht="45" x14ac:dyDescent="0.2">
      <c r="A310" s="310"/>
      <c r="B310" s="88"/>
      <c r="C310" s="89"/>
      <c r="D310" s="89"/>
      <c r="E310" s="89"/>
      <c r="F310" s="89"/>
      <c r="G310" s="89"/>
      <c r="H310" s="89"/>
      <c r="I310" s="89"/>
      <c r="J310" s="90"/>
      <c r="K310" s="90" t="s">
        <v>113174</v>
      </c>
      <c r="L310" s="91" t="s">
        <v>113170</v>
      </c>
      <c r="M310" s="92" t="s">
        <v>113171</v>
      </c>
      <c r="N310" s="93">
        <v>45292</v>
      </c>
      <c r="O310" s="93" t="s">
        <v>113203</v>
      </c>
      <c r="P310" s="132" t="s">
        <v>113068</v>
      </c>
      <c r="Q310" s="94" t="s">
        <v>113308</v>
      </c>
      <c r="R310" s="118">
        <f>4138111605+1854760690</f>
        <v>5992872295</v>
      </c>
      <c r="S310" s="293"/>
      <c r="T310" s="294"/>
      <c r="U310" s="295" t="s">
        <v>113173</v>
      </c>
    </row>
    <row r="311" spans="1:21" ht="30" x14ac:dyDescent="0.2">
      <c r="A311" s="310"/>
      <c r="B311" s="88"/>
      <c r="C311" s="89"/>
      <c r="D311" s="89"/>
      <c r="E311" s="89"/>
      <c r="F311" s="89"/>
      <c r="G311" s="89"/>
      <c r="H311" s="89"/>
      <c r="I311" s="89"/>
      <c r="J311" s="90"/>
      <c r="K311" s="90" t="s">
        <v>113174</v>
      </c>
      <c r="L311" s="91">
        <v>81101500</v>
      </c>
      <c r="M311" s="92" t="s">
        <v>113175</v>
      </c>
      <c r="N311" s="93">
        <v>45292</v>
      </c>
      <c r="O311" s="93" t="s">
        <v>113203</v>
      </c>
      <c r="P311" s="132" t="s">
        <v>113068</v>
      </c>
      <c r="Q311" s="94" t="s">
        <v>113309</v>
      </c>
      <c r="R311" s="118">
        <f>550573393+208535397</f>
        <v>759108790</v>
      </c>
      <c r="S311" s="293"/>
      <c r="T311" s="294"/>
      <c r="U311" s="295" t="s">
        <v>113173</v>
      </c>
    </row>
    <row r="312" spans="1:21" ht="45" x14ac:dyDescent="0.2">
      <c r="A312" s="310"/>
      <c r="B312" s="88"/>
      <c r="C312" s="89"/>
      <c r="D312" s="89"/>
      <c r="E312" s="89"/>
      <c r="F312" s="89"/>
      <c r="G312" s="89"/>
      <c r="H312" s="89"/>
      <c r="I312" s="89"/>
      <c r="J312" s="90"/>
      <c r="K312" s="90" t="s">
        <v>113174</v>
      </c>
      <c r="L312" s="91" t="s">
        <v>113170</v>
      </c>
      <c r="M312" s="92" t="s">
        <v>113310</v>
      </c>
      <c r="N312" s="93">
        <v>45444</v>
      </c>
      <c r="O312" s="93" t="s">
        <v>113018</v>
      </c>
      <c r="P312" s="94" t="s">
        <v>113178</v>
      </c>
      <c r="Q312" s="94" t="s">
        <v>113308</v>
      </c>
      <c r="R312" s="118">
        <f>4564220183-1854760690-208535397-2481348913-19575183</f>
        <v>0</v>
      </c>
      <c r="S312" s="293"/>
      <c r="T312" s="294"/>
      <c r="U312" s="295" t="s">
        <v>113173</v>
      </c>
    </row>
    <row r="313" spans="1:21" ht="30" x14ac:dyDescent="0.2">
      <c r="A313" s="310"/>
      <c r="B313" s="88"/>
      <c r="C313" s="89"/>
      <c r="D313" s="89"/>
      <c r="E313" s="89"/>
      <c r="F313" s="89"/>
      <c r="G313" s="89"/>
      <c r="H313" s="89"/>
      <c r="I313" s="89"/>
      <c r="J313" s="90"/>
      <c r="K313" s="90" t="s">
        <v>113174</v>
      </c>
      <c r="L313" s="91">
        <v>81101500</v>
      </c>
      <c r="M313" s="92" t="s">
        <v>113311</v>
      </c>
      <c r="N313" s="93">
        <v>45444</v>
      </c>
      <c r="O313" s="93" t="s">
        <v>113018</v>
      </c>
      <c r="P313" s="94" t="s">
        <v>113178</v>
      </c>
      <c r="Q313" s="94" t="s">
        <v>113309</v>
      </c>
      <c r="R313" s="118">
        <f>410779817-410779817</f>
        <v>0</v>
      </c>
      <c r="S313" s="293"/>
      <c r="T313" s="294"/>
      <c r="U313" s="295" t="s">
        <v>113173</v>
      </c>
    </row>
    <row r="314" spans="1:21" ht="30" x14ac:dyDescent="0.2">
      <c r="A314" s="310"/>
      <c r="B314" s="88"/>
      <c r="C314" s="89"/>
      <c r="D314" s="89"/>
      <c r="E314" s="89"/>
      <c r="F314" s="89"/>
      <c r="G314" s="89"/>
      <c r="H314" s="89"/>
      <c r="I314" s="89"/>
      <c r="J314" s="90"/>
      <c r="K314" s="90" t="s">
        <v>113174</v>
      </c>
      <c r="L314" s="91">
        <v>90121600</v>
      </c>
      <c r="M314" s="92" t="s">
        <v>113181</v>
      </c>
      <c r="N314" s="93">
        <v>45311</v>
      </c>
      <c r="O314" s="93" t="s">
        <v>113060</v>
      </c>
      <c r="P314" s="94" t="s">
        <v>113011</v>
      </c>
      <c r="Q314" s="94" t="s">
        <v>113242</v>
      </c>
      <c r="R314" s="118">
        <v>50000000</v>
      </c>
      <c r="S314" s="144"/>
      <c r="T314" s="144"/>
      <c r="U314" s="295" t="s">
        <v>113173</v>
      </c>
    </row>
    <row r="315" spans="1:21" ht="30" x14ac:dyDescent="0.2">
      <c r="A315" s="310"/>
      <c r="B315" s="88"/>
      <c r="C315" s="89"/>
      <c r="D315" s="89"/>
      <c r="E315" s="89"/>
      <c r="F315" s="89"/>
      <c r="G315" s="89"/>
      <c r="H315" s="89"/>
      <c r="I315" s="89"/>
      <c r="J315" s="90"/>
      <c r="K315" s="90" t="s">
        <v>113174</v>
      </c>
      <c r="L315" s="91">
        <v>90111500</v>
      </c>
      <c r="M315" s="92" t="s">
        <v>113312</v>
      </c>
      <c r="N315" s="93">
        <v>45311</v>
      </c>
      <c r="O315" s="93" t="s">
        <v>113203</v>
      </c>
      <c r="P315" s="94" t="s">
        <v>113200</v>
      </c>
      <c r="Q315" s="94" t="s">
        <v>113031</v>
      </c>
      <c r="R315" s="118">
        <v>70000000</v>
      </c>
      <c r="S315" s="144"/>
      <c r="T315" s="144"/>
      <c r="U315" s="295" t="s">
        <v>113173</v>
      </c>
    </row>
    <row r="316" spans="1:21" ht="36.75" customHeight="1" x14ac:dyDescent="0.2">
      <c r="A316" s="310"/>
      <c r="B316" s="88"/>
      <c r="C316" s="89"/>
      <c r="D316" s="89"/>
      <c r="E316" s="89"/>
      <c r="F316" s="89"/>
      <c r="G316" s="89"/>
      <c r="H316" s="89"/>
      <c r="I316" s="89"/>
      <c r="J316" s="90"/>
      <c r="K316" s="90" t="s">
        <v>113174</v>
      </c>
      <c r="L316" s="91" t="s">
        <v>113313</v>
      </c>
      <c r="M316" s="92" t="s">
        <v>113180</v>
      </c>
      <c r="N316" s="93">
        <v>45305</v>
      </c>
      <c r="O316" s="93" t="s">
        <v>113203</v>
      </c>
      <c r="P316" s="94" t="s">
        <v>113200</v>
      </c>
      <c r="Q316" s="94" t="s">
        <v>113095</v>
      </c>
      <c r="R316" s="118">
        <v>500000000</v>
      </c>
      <c r="S316" s="144"/>
      <c r="T316" s="144"/>
      <c r="U316" s="295" t="s">
        <v>113173</v>
      </c>
    </row>
    <row r="317" spans="1:21" ht="44.25" customHeight="1" x14ac:dyDescent="0.2">
      <c r="A317" s="310"/>
      <c r="B317" s="88"/>
      <c r="C317" s="89"/>
      <c r="D317" s="89"/>
      <c r="E317" s="89"/>
      <c r="F317" s="89"/>
      <c r="G317" s="89"/>
      <c r="H317" s="89"/>
      <c r="I317" s="89"/>
      <c r="J317" s="90"/>
      <c r="K317" s="90" t="s">
        <v>113174</v>
      </c>
      <c r="L317" s="91" t="s">
        <v>113313</v>
      </c>
      <c r="M317" s="92" t="s">
        <v>113180</v>
      </c>
      <c r="N317" s="93">
        <v>45305</v>
      </c>
      <c r="O317" s="93" t="s">
        <v>113203</v>
      </c>
      <c r="P317" s="94" t="s">
        <v>113200</v>
      </c>
      <c r="Q317" s="94" t="s">
        <v>113309</v>
      </c>
      <c r="R317" s="118">
        <v>481315002</v>
      </c>
      <c r="S317" s="144"/>
      <c r="T317" s="144"/>
      <c r="U317" s="295" t="s">
        <v>113173</v>
      </c>
    </row>
    <row r="318" spans="1:21" ht="44.25" customHeight="1" x14ac:dyDescent="0.2">
      <c r="A318" s="310"/>
      <c r="B318" s="88"/>
      <c r="C318" s="89"/>
      <c r="D318" s="89"/>
      <c r="E318" s="89"/>
      <c r="F318" s="89"/>
      <c r="G318" s="89"/>
      <c r="H318" s="89"/>
      <c r="I318" s="89"/>
      <c r="J318" s="90"/>
      <c r="K318" s="90"/>
      <c r="L318" s="91"/>
      <c r="M318" s="92" t="s">
        <v>113314</v>
      </c>
      <c r="N318" s="93"/>
      <c r="O318" s="93"/>
      <c r="P318" s="94"/>
      <c r="Q318" s="94"/>
      <c r="R318" s="118">
        <v>2481348913</v>
      </c>
      <c r="S318" s="144"/>
      <c r="T318" s="144"/>
      <c r="U318" s="295" t="s">
        <v>113173</v>
      </c>
    </row>
    <row r="319" spans="1:21" ht="44.25" customHeight="1" x14ac:dyDescent="0.2">
      <c r="A319" s="310"/>
      <c r="B319" s="88"/>
      <c r="C319" s="89"/>
      <c r="D319" s="89"/>
      <c r="E319" s="89"/>
      <c r="F319" s="89"/>
      <c r="G319" s="89"/>
      <c r="H319" s="89"/>
      <c r="I319" s="89"/>
      <c r="J319" s="90"/>
      <c r="K319" s="90"/>
      <c r="L319" s="91"/>
      <c r="M319" s="92" t="s">
        <v>113315</v>
      </c>
      <c r="N319" s="93"/>
      <c r="O319" s="93"/>
      <c r="P319" s="94"/>
      <c r="Q319" s="94"/>
      <c r="R319" s="118">
        <f>19575183+410779817</f>
        <v>430355000</v>
      </c>
      <c r="S319" s="144"/>
      <c r="T319" s="144"/>
      <c r="U319" s="295" t="s">
        <v>113173</v>
      </c>
    </row>
    <row r="320" spans="1:21" ht="39" customHeight="1" x14ac:dyDescent="0.2">
      <c r="A320" s="310"/>
      <c r="B320" s="88"/>
      <c r="C320" s="89"/>
      <c r="D320" s="89"/>
      <c r="E320" s="89"/>
      <c r="F320" s="89"/>
      <c r="G320" s="89"/>
      <c r="H320" s="89"/>
      <c r="I320" s="89"/>
      <c r="J320" s="90"/>
      <c r="K320" s="90" t="s">
        <v>113174</v>
      </c>
      <c r="L320" s="91" t="s">
        <v>113170</v>
      </c>
      <c r="M320" s="92" t="s">
        <v>113316</v>
      </c>
      <c r="N320" s="93">
        <v>45336</v>
      </c>
      <c r="O320" s="93" t="s">
        <v>113203</v>
      </c>
      <c r="P320" s="94" t="s">
        <v>113317</v>
      </c>
      <c r="Q320" s="94" t="s">
        <v>113308</v>
      </c>
      <c r="R320" s="118">
        <v>4133000000</v>
      </c>
      <c r="S320" s="144"/>
      <c r="T320" s="144"/>
      <c r="U320" s="295" t="s">
        <v>113173</v>
      </c>
    </row>
    <row r="321" spans="1:21" ht="30" x14ac:dyDescent="0.2">
      <c r="A321" s="310"/>
      <c r="B321" s="88"/>
      <c r="C321" s="89"/>
      <c r="D321" s="89"/>
      <c r="E321" s="89"/>
      <c r="F321" s="89"/>
      <c r="G321" s="89"/>
      <c r="H321" s="89"/>
      <c r="I321" s="89"/>
      <c r="J321" s="90"/>
      <c r="K321" s="90" t="s">
        <v>113174</v>
      </c>
      <c r="L321" s="91">
        <v>81101500</v>
      </c>
      <c r="M321" s="92" t="s">
        <v>113318</v>
      </c>
      <c r="N321" s="93">
        <v>45336</v>
      </c>
      <c r="O321" s="93" t="s">
        <v>113203</v>
      </c>
      <c r="P321" s="94" t="s">
        <v>113317</v>
      </c>
      <c r="Q321" s="94" t="s">
        <v>113309</v>
      </c>
      <c r="R321" s="118">
        <v>405000000</v>
      </c>
      <c r="S321" s="144"/>
      <c r="T321" s="144"/>
      <c r="U321" s="295" t="s">
        <v>113173</v>
      </c>
    </row>
    <row r="322" spans="1:21" ht="45" x14ac:dyDescent="0.2">
      <c r="A322" s="310"/>
      <c r="B322" s="88"/>
      <c r="C322" s="89"/>
      <c r="D322" s="89"/>
      <c r="E322" s="89"/>
      <c r="F322" s="89"/>
      <c r="G322" s="89"/>
      <c r="H322" s="89"/>
      <c r="I322" s="89"/>
      <c r="J322" s="90"/>
      <c r="K322" s="90" t="s">
        <v>113174</v>
      </c>
      <c r="L322" s="91" t="s">
        <v>113170</v>
      </c>
      <c r="M322" s="92" t="s">
        <v>113319</v>
      </c>
      <c r="N322" s="93">
        <v>45336</v>
      </c>
      <c r="O322" s="93" t="s">
        <v>113203</v>
      </c>
      <c r="P322" s="94" t="s">
        <v>113317</v>
      </c>
      <c r="Q322" s="94" t="s">
        <v>113308</v>
      </c>
      <c r="R322" s="118">
        <v>2107000000</v>
      </c>
      <c r="S322" s="144"/>
      <c r="T322" s="144"/>
      <c r="U322" s="295" t="s">
        <v>113173</v>
      </c>
    </row>
    <row r="323" spans="1:21" ht="30" x14ac:dyDescent="0.2">
      <c r="A323" s="310"/>
      <c r="B323" s="88"/>
      <c r="C323" s="89"/>
      <c r="D323" s="89"/>
      <c r="E323" s="89"/>
      <c r="F323" s="89"/>
      <c r="G323" s="89"/>
      <c r="H323" s="89"/>
      <c r="I323" s="89"/>
      <c r="J323" s="90"/>
      <c r="K323" s="90" t="s">
        <v>113174</v>
      </c>
      <c r="L323" s="91">
        <v>81101500</v>
      </c>
      <c r="M323" s="92" t="s">
        <v>113320</v>
      </c>
      <c r="N323" s="93">
        <v>45336</v>
      </c>
      <c r="O323" s="93" t="s">
        <v>113203</v>
      </c>
      <c r="P323" s="94" t="s">
        <v>113317</v>
      </c>
      <c r="Q323" s="94" t="s">
        <v>113309</v>
      </c>
      <c r="R323" s="118">
        <v>355000000</v>
      </c>
      <c r="S323" s="144"/>
      <c r="T323" s="144"/>
      <c r="U323" s="295" t="s">
        <v>113173</v>
      </c>
    </row>
    <row r="324" spans="1:21" ht="30" x14ac:dyDescent="0.2">
      <c r="A324" s="310"/>
      <c r="B324" s="254" t="s">
        <v>113163</v>
      </c>
      <c r="C324" s="254"/>
      <c r="D324" s="254" t="s">
        <v>113165</v>
      </c>
      <c r="E324" s="254"/>
      <c r="F324" s="254" t="s">
        <v>113167</v>
      </c>
      <c r="G324" s="254"/>
      <c r="H324" s="254" t="s">
        <v>106211</v>
      </c>
      <c r="I324" s="254"/>
      <c r="J324" s="254"/>
      <c r="K324" s="65"/>
      <c r="L324" s="65"/>
      <c r="M324" s="66" t="s">
        <v>113182</v>
      </c>
      <c r="N324" s="67"/>
      <c r="O324" s="67" t="s">
        <v>112995</v>
      </c>
      <c r="P324" s="68"/>
      <c r="Q324" s="68"/>
      <c r="R324" s="69">
        <f>+R325</f>
        <v>20795000000</v>
      </c>
      <c r="S324" s="70">
        <v>20795000000</v>
      </c>
      <c r="T324" s="70">
        <f>+R324-S324</f>
        <v>0</v>
      </c>
      <c r="U324" s="71"/>
    </row>
    <row r="325" spans="1:21" ht="15.75" x14ac:dyDescent="0.2">
      <c r="A325" s="310"/>
      <c r="B325" s="289" t="s">
        <v>105516</v>
      </c>
      <c r="C325" s="289"/>
      <c r="D325" s="289"/>
      <c r="E325" s="289"/>
      <c r="F325" s="289"/>
      <c r="G325" s="289"/>
      <c r="H325" s="289"/>
      <c r="I325" s="289"/>
      <c r="J325" s="289"/>
      <c r="K325" s="35"/>
      <c r="L325" s="35"/>
      <c r="M325" s="36" t="s">
        <v>112994</v>
      </c>
      <c r="N325" s="290"/>
      <c r="O325" s="290" t="s">
        <v>112995</v>
      </c>
      <c r="P325" s="291"/>
      <c r="Q325" s="291"/>
      <c r="R325" s="296">
        <f>SUM(R326:R349)</f>
        <v>20795000000</v>
      </c>
      <c r="S325" s="297"/>
      <c r="T325" s="297"/>
      <c r="U325" s="298"/>
    </row>
    <row r="326" spans="1:21" ht="27" customHeight="1" x14ac:dyDescent="0.2">
      <c r="A326" s="310"/>
      <c r="B326" s="88"/>
      <c r="C326" s="89"/>
      <c r="D326" s="89"/>
      <c r="E326" s="89"/>
      <c r="F326" s="89"/>
      <c r="G326" s="89"/>
      <c r="H326" s="89"/>
      <c r="I326" s="89"/>
      <c r="J326" s="90"/>
      <c r="K326" s="90" t="s">
        <v>113185</v>
      </c>
      <c r="L326" s="91" t="s">
        <v>113170</v>
      </c>
      <c r="M326" s="92" t="s">
        <v>113183</v>
      </c>
      <c r="N326" s="93">
        <v>45163</v>
      </c>
      <c r="O326" s="93" t="s">
        <v>113010</v>
      </c>
      <c r="P326" s="94" t="s">
        <v>113022</v>
      </c>
      <c r="Q326" s="94" t="s">
        <v>113308</v>
      </c>
      <c r="R326" s="118">
        <f>1160000000+364924765</f>
        <v>1524924765</v>
      </c>
      <c r="S326" s="96"/>
      <c r="T326" s="141"/>
      <c r="U326" s="92" t="s">
        <v>113173</v>
      </c>
    </row>
    <row r="327" spans="1:21" ht="30" x14ac:dyDescent="0.2">
      <c r="A327" s="310"/>
      <c r="B327" s="88"/>
      <c r="C327" s="89"/>
      <c r="D327" s="89"/>
      <c r="E327" s="89"/>
      <c r="F327" s="89"/>
      <c r="G327" s="89"/>
      <c r="H327" s="89"/>
      <c r="I327" s="89"/>
      <c r="J327" s="90"/>
      <c r="K327" s="90" t="s">
        <v>113185</v>
      </c>
      <c r="L327" s="55">
        <v>81101500</v>
      </c>
      <c r="M327" s="92" t="s">
        <v>113186</v>
      </c>
      <c r="N327" s="93">
        <v>45222</v>
      </c>
      <c r="O327" s="93" t="s">
        <v>113070</v>
      </c>
      <c r="P327" s="94" t="s">
        <v>113022</v>
      </c>
      <c r="Q327" s="94" t="s">
        <v>113309</v>
      </c>
      <c r="R327" s="118">
        <f>177400000+39348068</f>
        <v>216748068</v>
      </c>
      <c r="S327" s="96"/>
      <c r="T327" s="141"/>
      <c r="U327" s="92" t="s">
        <v>113173</v>
      </c>
    </row>
    <row r="328" spans="1:21" ht="25.5" customHeight="1" x14ac:dyDescent="0.2">
      <c r="A328" s="310"/>
      <c r="B328" s="88"/>
      <c r="C328" s="89"/>
      <c r="D328" s="89"/>
      <c r="E328" s="89"/>
      <c r="F328" s="89"/>
      <c r="G328" s="89"/>
      <c r="H328" s="89"/>
      <c r="I328" s="89"/>
      <c r="J328" s="90"/>
      <c r="K328" s="90" t="s">
        <v>113185</v>
      </c>
      <c r="L328" s="91" t="s">
        <v>113170</v>
      </c>
      <c r="M328" s="92" t="s">
        <v>113189</v>
      </c>
      <c r="N328" s="93">
        <v>45163</v>
      </c>
      <c r="O328" s="93" t="s">
        <v>113060</v>
      </c>
      <c r="P328" s="94" t="s">
        <v>113022</v>
      </c>
      <c r="Q328" s="94" t="s">
        <v>113308</v>
      </c>
      <c r="R328" s="118">
        <f>1754000000-364924765-39348068-6166041</f>
        <v>1343561126</v>
      </c>
      <c r="S328" s="96"/>
      <c r="T328" s="141"/>
      <c r="U328" s="92" t="s">
        <v>113173</v>
      </c>
    </row>
    <row r="329" spans="1:21" ht="30" x14ac:dyDescent="0.2">
      <c r="A329" s="310"/>
      <c r="B329" s="88"/>
      <c r="C329" s="89"/>
      <c r="D329" s="89"/>
      <c r="E329" s="89"/>
      <c r="F329" s="89"/>
      <c r="G329" s="89"/>
      <c r="H329" s="89"/>
      <c r="I329" s="89"/>
      <c r="J329" s="90"/>
      <c r="K329" s="90" t="s">
        <v>113185</v>
      </c>
      <c r="L329" s="55">
        <v>81101500</v>
      </c>
      <c r="M329" s="92" t="s">
        <v>113190</v>
      </c>
      <c r="N329" s="93">
        <v>45222</v>
      </c>
      <c r="O329" s="93" t="s">
        <v>113060</v>
      </c>
      <c r="P329" s="94" t="s">
        <v>113022</v>
      </c>
      <c r="Q329" s="94" t="s">
        <v>113309</v>
      </c>
      <c r="R329" s="118">
        <f>178500000+6166041+21943297.82</f>
        <v>206609338.81999999</v>
      </c>
      <c r="S329" s="96"/>
      <c r="T329" s="141"/>
      <c r="U329" s="92" t="s">
        <v>113173</v>
      </c>
    </row>
    <row r="330" spans="1:21" ht="25.5" customHeight="1" x14ac:dyDescent="0.2">
      <c r="A330" s="310"/>
      <c r="B330" s="88"/>
      <c r="C330" s="89"/>
      <c r="D330" s="89"/>
      <c r="E330" s="89"/>
      <c r="F330" s="89"/>
      <c r="G330" s="89"/>
      <c r="H330" s="89"/>
      <c r="I330" s="89"/>
      <c r="J330" s="90"/>
      <c r="K330" s="90" t="s">
        <v>113185</v>
      </c>
      <c r="L330" s="91" t="s">
        <v>113170</v>
      </c>
      <c r="M330" s="92" t="s">
        <v>113321</v>
      </c>
      <c r="N330" s="93">
        <v>45163</v>
      </c>
      <c r="O330" s="93" t="s">
        <v>113060</v>
      </c>
      <c r="P330" s="94" t="s">
        <v>113022</v>
      </c>
      <c r="Q330" s="94" t="s">
        <v>113308</v>
      </c>
      <c r="R330" s="118">
        <f>1655616086.67-21943297.82-43835356.02</f>
        <v>1589837432.8300002</v>
      </c>
      <c r="S330" s="96"/>
      <c r="T330" s="141"/>
      <c r="U330" s="92" t="s">
        <v>113173</v>
      </c>
    </row>
    <row r="331" spans="1:21" ht="24" customHeight="1" x14ac:dyDescent="0.2">
      <c r="A331" s="310"/>
      <c r="B331" s="88"/>
      <c r="C331" s="89"/>
      <c r="D331" s="89"/>
      <c r="E331" s="89"/>
      <c r="F331" s="89"/>
      <c r="G331" s="89"/>
      <c r="H331" s="89"/>
      <c r="I331" s="89"/>
      <c r="J331" s="90"/>
      <c r="K331" s="90" t="s">
        <v>113185</v>
      </c>
      <c r="L331" s="91">
        <v>81101500</v>
      </c>
      <c r="M331" s="92" t="s">
        <v>113322</v>
      </c>
      <c r="N331" s="93">
        <v>45222</v>
      </c>
      <c r="O331" s="93" t="s">
        <v>113060</v>
      </c>
      <c r="P331" s="94" t="s">
        <v>113022</v>
      </c>
      <c r="Q331" s="94" t="s">
        <v>113309</v>
      </c>
      <c r="R331" s="118">
        <f>160005447.8+43835356.02-195000000-404845.31</f>
        <v>8435958.5100000221</v>
      </c>
      <c r="S331" s="96"/>
      <c r="T331" s="141"/>
      <c r="U331" s="92" t="s">
        <v>113173</v>
      </c>
    </row>
    <row r="332" spans="1:21" ht="36.75" customHeight="1" x14ac:dyDescent="0.2">
      <c r="A332" s="310"/>
      <c r="B332" s="88"/>
      <c r="C332" s="89"/>
      <c r="D332" s="89"/>
      <c r="E332" s="89"/>
      <c r="F332" s="89"/>
      <c r="G332" s="89"/>
      <c r="H332" s="89"/>
      <c r="I332" s="89"/>
      <c r="J332" s="90"/>
      <c r="K332" s="90" t="s">
        <v>113185</v>
      </c>
      <c r="L332" s="91" t="s">
        <v>113170</v>
      </c>
      <c r="M332" s="92" t="s">
        <v>113323</v>
      </c>
      <c r="N332" s="93">
        <v>45651</v>
      </c>
      <c r="O332" s="93" t="s">
        <v>113060</v>
      </c>
      <c r="P332" s="94" t="s">
        <v>113022</v>
      </c>
      <c r="Q332" s="94" t="s">
        <v>113308</v>
      </c>
      <c r="R332" s="118">
        <f>2900000000-7147237-29002880-16094179</f>
        <v>2847755704</v>
      </c>
      <c r="S332" s="96"/>
      <c r="T332" s="141"/>
      <c r="U332" s="92" t="s">
        <v>113173</v>
      </c>
    </row>
    <row r="333" spans="1:21" ht="24" customHeight="1" x14ac:dyDescent="0.2">
      <c r="A333" s="310"/>
      <c r="B333" s="88"/>
      <c r="C333" s="89"/>
      <c r="D333" s="89"/>
      <c r="E333" s="89"/>
      <c r="F333" s="89"/>
      <c r="G333" s="89"/>
      <c r="H333" s="89"/>
      <c r="I333" s="89"/>
      <c r="J333" s="90"/>
      <c r="K333" s="90" t="s">
        <v>113185</v>
      </c>
      <c r="L333" s="91">
        <v>81101500</v>
      </c>
      <c r="M333" s="92" t="s">
        <v>113324</v>
      </c>
      <c r="N333" s="93">
        <v>45651</v>
      </c>
      <c r="O333" s="93" t="s">
        <v>113060</v>
      </c>
      <c r="P333" s="94" t="s">
        <v>113022</v>
      </c>
      <c r="Q333" s="94" t="s">
        <v>113309</v>
      </c>
      <c r="R333" s="118">
        <f>300000000+8833032+1166968</f>
        <v>310000000</v>
      </c>
      <c r="S333" s="96"/>
      <c r="T333" s="141"/>
      <c r="U333" s="92" t="s">
        <v>113173</v>
      </c>
    </row>
    <row r="334" spans="1:21" ht="33.75" customHeight="1" x14ac:dyDescent="0.2">
      <c r="A334" s="310"/>
      <c r="B334" s="88"/>
      <c r="C334" s="89"/>
      <c r="D334" s="89"/>
      <c r="E334" s="89"/>
      <c r="F334" s="89"/>
      <c r="G334" s="89"/>
      <c r="H334" s="89"/>
      <c r="I334" s="89"/>
      <c r="J334" s="90"/>
      <c r="K334" s="90" t="s">
        <v>113185</v>
      </c>
      <c r="L334" s="91" t="s">
        <v>113170</v>
      </c>
      <c r="M334" s="92" t="s">
        <v>113325</v>
      </c>
      <c r="N334" s="93">
        <v>45651</v>
      </c>
      <c r="O334" s="93" t="s">
        <v>113060</v>
      </c>
      <c r="P334" s="94" t="s">
        <v>113022</v>
      </c>
      <c r="Q334" s="94" t="s">
        <v>113308</v>
      </c>
      <c r="R334" s="118">
        <f>2800000000+88483032</f>
        <v>2888483032</v>
      </c>
      <c r="S334" s="96"/>
      <c r="T334" s="141"/>
      <c r="U334" s="92" t="s">
        <v>113173</v>
      </c>
    </row>
    <row r="335" spans="1:21" ht="26.25" customHeight="1" x14ac:dyDescent="0.2">
      <c r="A335" s="310"/>
      <c r="B335" s="88"/>
      <c r="C335" s="89"/>
      <c r="D335" s="89"/>
      <c r="E335" s="89"/>
      <c r="F335" s="89"/>
      <c r="G335" s="89"/>
      <c r="H335" s="89"/>
      <c r="I335" s="89"/>
      <c r="J335" s="90"/>
      <c r="K335" s="90" t="s">
        <v>113185</v>
      </c>
      <c r="L335" s="91">
        <v>81101500</v>
      </c>
      <c r="M335" s="92" t="s">
        <v>113326</v>
      </c>
      <c r="N335" s="93">
        <v>45651</v>
      </c>
      <c r="O335" s="93" t="s">
        <v>113060</v>
      </c>
      <c r="P335" s="94" t="s">
        <v>113022</v>
      </c>
      <c r="Q335" s="94" t="s">
        <v>113309</v>
      </c>
      <c r="R335" s="118">
        <f>290000000+7147237+22852763</f>
        <v>320000000</v>
      </c>
      <c r="S335" s="96"/>
      <c r="T335" s="141"/>
      <c r="U335" s="92" t="s">
        <v>113173</v>
      </c>
    </row>
    <row r="336" spans="1:21" ht="24" customHeight="1" x14ac:dyDescent="0.2">
      <c r="A336" s="310"/>
      <c r="B336" s="88"/>
      <c r="C336" s="89"/>
      <c r="D336" s="89"/>
      <c r="E336" s="89"/>
      <c r="F336" s="89"/>
      <c r="G336" s="89"/>
      <c r="H336" s="89"/>
      <c r="I336" s="89"/>
      <c r="J336" s="90"/>
      <c r="K336" s="90" t="s">
        <v>113185</v>
      </c>
      <c r="L336" s="91" t="s">
        <v>113170</v>
      </c>
      <c r="M336" s="92" t="s">
        <v>113327</v>
      </c>
      <c r="N336" s="93">
        <v>45651</v>
      </c>
      <c r="O336" s="93" t="s">
        <v>113203</v>
      </c>
      <c r="P336" s="94" t="s">
        <v>113022</v>
      </c>
      <c r="Q336" s="94" t="s">
        <v>113308</v>
      </c>
      <c r="R336" s="118">
        <f>2400000000-8833032-22852763</f>
        <v>2368314205</v>
      </c>
      <c r="S336" s="96"/>
      <c r="T336" s="141"/>
      <c r="U336" s="92" t="s">
        <v>113173</v>
      </c>
    </row>
    <row r="337" spans="1:21" ht="26.25" customHeight="1" x14ac:dyDescent="0.2">
      <c r="A337" s="310"/>
      <c r="B337" s="88"/>
      <c r="C337" s="89"/>
      <c r="D337" s="89"/>
      <c r="E337" s="89"/>
      <c r="F337" s="89"/>
      <c r="G337" s="89"/>
      <c r="H337" s="89"/>
      <c r="I337" s="89"/>
      <c r="J337" s="90"/>
      <c r="K337" s="90" t="s">
        <v>113185</v>
      </c>
      <c r="L337" s="91">
        <v>81101500</v>
      </c>
      <c r="M337" s="92" t="s">
        <v>113328</v>
      </c>
      <c r="N337" s="93">
        <v>45651</v>
      </c>
      <c r="O337" s="93" t="s">
        <v>113203</v>
      </c>
      <c r="P337" s="94" t="s">
        <v>113022</v>
      </c>
      <c r="Q337" s="94" t="s">
        <v>113309</v>
      </c>
      <c r="R337" s="118">
        <f>270000000+29002880</f>
        <v>299002880</v>
      </c>
      <c r="S337" s="96"/>
      <c r="T337" s="141"/>
      <c r="U337" s="92" t="s">
        <v>113173</v>
      </c>
    </row>
    <row r="338" spans="1:21" ht="27.75" customHeight="1" x14ac:dyDescent="0.2">
      <c r="A338" s="310"/>
      <c r="B338" s="88"/>
      <c r="C338" s="89"/>
      <c r="D338" s="89"/>
      <c r="E338" s="89"/>
      <c r="F338" s="89"/>
      <c r="G338" s="89"/>
      <c r="H338" s="89"/>
      <c r="I338" s="89"/>
      <c r="J338" s="90"/>
      <c r="K338" s="90" t="s">
        <v>113185</v>
      </c>
      <c r="L338" s="91" t="s">
        <v>113170</v>
      </c>
      <c r="M338" s="92" t="s">
        <v>113187</v>
      </c>
      <c r="N338" s="93">
        <v>45651</v>
      </c>
      <c r="O338" s="93" t="s">
        <v>113203</v>
      </c>
      <c r="P338" s="94" t="s">
        <v>113022</v>
      </c>
      <c r="Q338" s="94" t="s">
        <v>113308</v>
      </c>
      <c r="R338" s="118">
        <f>2900000000-1166968-88483032</f>
        <v>2810350000</v>
      </c>
      <c r="S338" s="96"/>
      <c r="T338" s="141"/>
      <c r="U338" s="92" t="s">
        <v>113173</v>
      </c>
    </row>
    <row r="339" spans="1:21" ht="30" x14ac:dyDescent="0.2">
      <c r="A339" s="310"/>
      <c r="B339" s="88"/>
      <c r="C339" s="89"/>
      <c r="D339" s="89"/>
      <c r="E339" s="89"/>
      <c r="F339" s="89"/>
      <c r="G339" s="89"/>
      <c r="H339" s="89"/>
      <c r="I339" s="89"/>
      <c r="J339" s="90"/>
      <c r="K339" s="90" t="s">
        <v>113185</v>
      </c>
      <c r="L339" s="91">
        <v>81101500</v>
      </c>
      <c r="M339" s="92" t="s">
        <v>113188</v>
      </c>
      <c r="N339" s="93">
        <v>45651</v>
      </c>
      <c r="O339" s="93" t="s">
        <v>113203</v>
      </c>
      <c r="P339" s="94" t="s">
        <v>113022</v>
      </c>
      <c r="Q339" s="94" t="s">
        <v>113309</v>
      </c>
      <c r="R339" s="118">
        <f>300000000+16094179</f>
        <v>316094179</v>
      </c>
      <c r="S339" s="96"/>
      <c r="T339" s="141"/>
      <c r="U339" s="92" t="s">
        <v>113173</v>
      </c>
    </row>
    <row r="340" spans="1:21" ht="35.25" customHeight="1" x14ac:dyDescent="0.2">
      <c r="A340" s="310"/>
      <c r="B340" s="88"/>
      <c r="C340" s="89"/>
      <c r="D340" s="89"/>
      <c r="E340" s="89"/>
      <c r="F340" s="89"/>
      <c r="G340" s="89"/>
      <c r="H340" s="89"/>
      <c r="I340" s="89"/>
      <c r="J340" s="90"/>
      <c r="K340" s="90" t="s">
        <v>113185</v>
      </c>
      <c r="L340" s="91" t="s">
        <v>113170</v>
      </c>
      <c r="M340" s="92" t="s">
        <v>113329</v>
      </c>
      <c r="N340" s="93">
        <v>45641</v>
      </c>
      <c r="O340" s="93" t="s">
        <v>113203</v>
      </c>
      <c r="P340" s="94" t="s">
        <v>113011</v>
      </c>
      <c r="Q340" s="94" t="s">
        <v>113308</v>
      </c>
      <c r="R340" s="118">
        <f>1100000000-200000000+195000000</f>
        <v>1095000000</v>
      </c>
      <c r="S340" s="96" t="s">
        <v>105533</v>
      </c>
      <c r="T340" s="325">
        <v>3191426295.0047998</v>
      </c>
      <c r="U340" s="92" t="s">
        <v>113173</v>
      </c>
    </row>
    <row r="341" spans="1:21" ht="25.5" customHeight="1" x14ac:dyDescent="0.2">
      <c r="A341" s="310"/>
      <c r="B341" s="88"/>
      <c r="C341" s="89"/>
      <c r="D341" s="89"/>
      <c r="E341" s="89"/>
      <c r="F341" s="89"/>
      <c r="G341" s="89"/>
      <c r="H341" s="89"/>
      <c r="I341" s="89"/>
      <c r="J341" s="90"/>
      <c r="K341" s="90" t="s">
        <v>113185</v>
      </c>
      <c r="L341" s="91">
        <v>81101500</v>
      </c>
      <c r="M341" s="92" t="s">
        <v>113330</v>
      </c>
      <c r="N341" s="93">
        <v>45641</v>
      </c>
      <c r="O341" s="93" t="s">
        <v>113203</v>
      </c>
      <c r="P341" s="94" t="s">
        <v>113011</v>
      </c>
      <c r="Q341" s="94" t="s">
        <v>113309</v>
      </c>
      <c r="R341" s="118">
        <v>160000000</v>
      </c>
      <c r="S341" s="96" t="s">
        <v>105533</v>
      </c>
      <c r="T341" s="325">
        <v>285450049</v>
      </c>
      <c r="U341" s="92" t="s">
        <v>113173</v>
      </c>
    </row>
    <row r="342" spans="1:21" ht="45" x14ac:dyDescent="0.2">
      <c r="A342" s="310"/>
      <c r="B342" s="88"/>
      <c r="C342" s="89"/>
      <c r="D342" s="89"/>
      <c r="E342" s="89"/>
      <c r="F342" s="89"/>
      <c r="G342" s="89"/>
      <c r="H342" s="89"/>
      <c r="I342" s="89"/>
      <c r="J342" s="90"/>
      <c r="K342" s="90" t="s">
        <v>113185</v>
      </c>
      <c r="L342" s="91" t="s">
        <v>113170</v>
      </c>
      <c r="M342" s="92" t="s">
        <v>113331</v>
      </c>
      <c r="N342" s="93">
        <v>45641</v>
      </c>
      <c r="O342" s="93" t="s">
        <v>113203</v>
      </c>
      <c r="P342" s="94" t="s">
        <v>113022</v>
      </c>
      <c r="Q342" s="94" t="s">
        <v>113308</v>
      </c>
      <c r="R342" s="118">
        <f>1000000000-100000000</f>
        <v>900000000</v>
      </c>
      <c r="S342" s="96" t="s">
        <v>105533</v>
      </c>
      <c r="T342" s="325">
        <v>773272719.76959991</v>
      </c>
      <c r="U342" s="92" t="s">
        <v>113173</v>
      </c>
    </row>
    <row r="343" spans="1:21" ht="30" x14ac:dyDescent="0.2">
      <c r="A343" s="310"/>
      <c r="B343" s="88"/>
      <c r="C343" s="89"/>
      <c r="D343" s="89"/>
      <c r="E343" s="89"/>
      <c r="F343" s="89"/>
      <c r="G343" s="89"/>
      <c r="H343" s="89"/>
      <c r="I343" s="89"/>
      <c r="J343" s="90"/>
      <c r="K343" s="90" t="s">
        <v>113185</v>
      </c>
      <c r="L343" s="91">
        <v>81101500</v>
      </c>
      <c r="M343" s="92" t="s">
        <v>113332</v>
      </c>
      <c r="N343" s="93">
        <v>45641</v>
      </c>
      <c r="O343" s="93" t="s">
        <v>113203</v>
      </c>
      <c r="P343" s="94" t="s">
        <v>113022</v>
      </c>
      <c r="Q343" s="94" t="s">
        <v>113309</v>
      </c>
      <c r="R343" s="118">
        <v>80000000</v>
      </c>
      <c r="S343" s="96" t="s">
        <v>105533</v>
      </c>
      <c r="T343" s="325">
        <v>104065708</v>
      </c>
      <c r="U343" s="92" t="s">
        <v>113173</v>
      </c>
    </row>
    <row r="344" spans="1:21" ht="45" x14ac:dyDescent="0.2">
      <c r="A344" s="310"/>
      <c r="B344" s="88"/>
      <c r="C344" s="89"/>
      <c r="D344" s="89"/>
      <c r="E344" s="89"/>
      <c r="F344" s="89"/>
      <c r="G344" s="89"/>
      <c r="H344" s="89"/>
      <c r="I344" s="89"/>
      <c r="J344" s="90"/>
      <c r="K344" s="90" t="s">
        <v>113185</v>
      </c>
      <c r="L344" s="91" t="s">
        <v>113170</v>
      </c>
      <c r="M344" s="92" t="s">
        <v>113333</v>
      </c>
      <c r="N344" s="93">
        <v>45641</v>
      </c>
      <c r="O344" s="93" t="s">
        <v>113203</v>
      </c>
      <c r="P344" s="94" t="s">
        <v>113022</v>
      </c>
      <c r="Q344" s="94" t="s">
        <v>113308</v>
      </c>
      <c r="R344" s="118">
        <f>1000000000-100000000</f>
        <v>900000000</v>
      </c>
      <c r="S344" s="96" t="s">
        <v>105533</v>
      </c>
      <c r="T344" s="325">
        <v>510274233.06879997</v>
      </c>
      <c r="U344" s="92" t="s">
        <v>113173</v>
      </c>
    </row>
    <row r="345" spans="1:21" ht="30" x14ac:dyDescent="0.2">
      <c r="A345" s="310"/>
      <c r="B345" s="88"/>
      <c r="C345" s="89"/>
      <c r="D345" s="89"/>
      <c r="E345" s="89"/>
      <c r="F345" s="89"/>
      <c r="G345" s="89"/>
      <c r="H345" s="89"/>
      <c r="I345" s="89"/>
      <c r="J345" s="90"/>
      <c r="K345" s="90" t="s">
        <v>113185</v>
      </c>
      <c r="L345" s="91">
        <v>81101500</v>
      </c>
      <c r="M345" s="92" t="s">
        <v>113334</v>
      </c>
      <c r="N345" s="93">
        <v>45641</v>
      </c>
      <c r="O345" s="93" t="s">
        <v>113203</v>
      </c>
      <c r="P345" s="94" t="s">
        <v>113022</v>
      </c>
      <c r="Q345" s="94" t="s">
        <v>113309</v>
      </c>
      <c r="R345" s="118">
        <v>120000000</v>
      </c>
      <c r="S345" s="96" t="s">
        <v>105533</v>
      </c>
      <c r="T345" s="325">
        <v>50000000</v>
      </c>
      <c r="U345" s="92" t="s">
        <v>113173</v>
      </c>
    </row>
    <row r="346" spans="1:21" ht="30" x14ac:dyDescent="0.2">
      <c r="A346" s="310"/>
      <c r="B346" s="88"/>
      <c r="C346" s="89"/>
      <c r="D346" s="89"/>
      <c r="E346" s="89"/>
      <c r="F346" s="89"/>
      <c r="G346" s="89"/>
      <c r="H346" s="89"/>
      <c r="I346" s="89"/>
      <c r="J346" s="90"/>
      <c r="K346" s="90" t="s">
        <v>113185</v>
      </c>
      <c r="L346" s="91">
        <v>90121600</v>
      </c>
      <c r="M346" s="92" t="s">
        <v>113181</v>
      </c>
      <c r="N346" s="93">
        <v>45311</v>
      </c>
      <c r="O346" s="93" t="s">
        <v>113060</v>
      </c>
      <c r="P346" s="94" t="s">
        <v>113011</v>
      </c>
      <c r="Q346" s="94" t="s">
        <v>113242</v>
      </c>
      <c r="R346" s="118">
        <v>40000000</v>
      </c>
      <c r="S346" s="96"/>
      <c r="T346" s="141"/>
      <c r="U346" s="92" t="s">
        <v>113173</v>
      </c>
    </row>
    <row r="347" spans="1:21" x14ac:dyDescent="0.2">
      <c r="A347" s="310"/>
      <c r="B347" s="88"/>
      <c r="C347" s="89"/>
      <c r="D347" s="89"/>
      <c r="E347" s="89"/>
      <c r="F347" s="89"/>
      <c r="G347" s="89"/>
      <c r="H347" s="89"/>
      <c r="I347" s="89"/>
      <c r="J347" s="90"/>
      <c r="K347" s="90"/>
      <c r="L347" s="91"/>
      <c r="M347" s="92" t="s">
        <v>113193</v>
      </c>
      <c r="N347" s="93" t="s">
        <v>113031</v>
      </c>
      <c r="O347" s="93" t="s">
        <v>113031</v>
      </c>
      <c r="P347" s="93" t="s">
        <v>113031</v>
      </c>
      <c r="Q347" s="93" t="s">
        <v>113031</v>
      </c>
      <c r="R347" s="118">
        <f>200000000+100000000</f>
        <v>300000000</v>
      </c>
      <c r="S347" s="96"/>
      <c r="T347" s="141"/>
      <c r="U347" s="92"/>
    </row>
    <row r="348" spans="1:21" x14ac:dyDescent="0.2">
      <c r="A348" s="310"/>
      <c r="B348" s="88"/>
      <c r="C348" s="89"/>
      <c r="D348" s="89"/>
      <c r="E348" s="89"/>
      <c r="F348" s="89"/>
      <c r="G348" s="89"/>
      <c r="H348" s="89"/>
      <c r="I348" s="89"/>
      <c r="J348" s="90"/>
      <c r="K348" s="90"/>
      <c r="L348" s="91"/>
      <c r="M348" s="92" t="s">
        <v>113335</v>
      </c>
      <c r="N348" s="93" t="s">
        <v>113031</v>
      </c>
      <c r="O348" s="93" t="s">
        <v>113031</v>
      </c>
      <c r="P348" s="93" t="s">
        <v>113031</v>
      </c>
      <c r="Q348" s="93" t="s">
        <v>113031</v>
      </c>
      <c r="R348" s="118">
        <v>100000000</v>
      </c>
      <c r="S348" s="96"/>
      <c r="T348" s="141"/>
      <c r="U348" s="92"/>
    </row>
    <row r="349" spans="1:21" ht="30" x14ac:dyDescent="0.2">
      <c r="A349" s="310"/>
      <c r="B349" s="326"/>
      <c r="C349" s="327"/>
      <c r="D349" s="327"/>
      <c r="E349" s="327"/>
      <c r="F349" s="327"/>
      <c r="G349" s="327"/>
      <c r="H349" s="327"/>
      <c r="I349" s="327"/>
      <c r="J349" s="328"/>
      <c r="K349" s="328" t="s">
        <v>113185</v>
      </c>
      <c r="L349" s="91">
        <v>90111500</v>
      </c>
      <c r="M349" s="92" t="s">
        <v>113312</v>
      </c>
      <c r="N349" s="93">
        <v>45311</v>
      </c>
      <c r="O349" s="93" t="s">
        <v>113203</v>
      </c>
      <c r="P349" s="94" t="s">
        <v>113200</v>
      </c>
      <c r="Q349" s="94" t="s">
        <v>113031</v>
      </c>
      <c r="R349" s="118">
        <f>49478465.53+404845.31</f>
        <v>49883310.840000004</v>
      </c>
      <c r="S349" s="96"/>
      <c r="T349" s="141"/>
      <c r="U349" s="92" t="s">
        <v>113173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ERROR" error="ERROR" xr:uid="{00000000-0002-0000-0500-000000000000}">
          <x14:formula1>
            <xm:f>'\\172.23.131.133\Planeacion\4.Plan de adquisiciones\Plan de Adquisiciones 2023 - ICFE\[34.Plan Adquisiciones 2023 ICFE.xlsx]Hoja1'!#REF!</xm:f>
          </x14:formula1>
          <xm:sqref>U175 U155</xm:sqref>
        </x14:dataValidation>
        <x14:dataValidation type="list" allowBlank="1" showInputMessage="1" showErrorMessage="1" xr:uid="{00000000-0002-0000-0500-000001000000}">
          <x14:formula1>
            <xm:f>'\\172.23.131.133\Planeacion\4.Plan de adquisiciones\Plan de Adquisiciones 2025 - ICFE\Anteproyecto 2025\[Plan Anual Adquisiciones 2025.xlsx]Hoja1'!#REF!</xm:f>
          </x14:formula1>
          <xm:sqref>U285:U1048576 U176:U265 U267:U282 U1:U154 U156:U174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U347"/>
  <sheetViews>
    <sheetView showGridLines="0" topLeftCell="F359" zoomScale="90" zoomScaleNormal="90" workbookViewId="0">
      <selection activeCell="M391" sqref="M391"/>
    </sheetView>
  </sheetViews>
  <sheetFormatPr baseColWidth="10" defaultColWidth="11.5703125" defaultRowHeight="15" x14ac:dyDescent="0.2"/>
  <cols>
    <col min="1" max="1" width="3.85546875" style="22" customWidth="1"/>
    <col min="2" max="2" width="13.140625" style="20" customWidth="1"/>
    <col min="3" max="3" width="12.5703125" style="20" customWidth="1"/>
    <col min="4" max="4" width="13.140625" style="20" customWidth="1"/>
    <col min="5" max="5" width="11" style="20" customWidth="1"/>
    <col min="6" max="6" width="11.7109375" style="20" customWidth="1"/>
    <col min="7" max="7" width="12.42578125" style="20" customWidth="1"/>
    <col min="8" max="8" width="9" style="20" customWidth="1"/>
    <col min="9" max="9" width="10.7109375" style="20" customWidth="1"/>
    <col min="10" max="10" width="9.7109375" style="20" customWidth="1"/>
    <col min="11" max="11" width="22.140625" style="20" hidden="1" customWidth="1"/>
    <col min="12" max="12" width="16" style="20" customWidth="1"/>
    <col min="13" max="13" width="84.140625" style="24" bestFit="1" customWidth="1"/>
    <col min="14" max="14" width="19.5703125" style="301" bestFit="1" customWidth="1"/>
    <col min="15" max="15" width="22.5703125" style="16" bestFit="1" customWidth="1"/>
    <col min="16" max="16" width="22.140625" style="17" bestFit="1" customWidth="1"/>
    <col min="17" max="17" width="28.5703125" style="18" bestFit="1" customWidth="1"/>
    <col min="18" max="18" width="26" style="19" bestFit="1" customWidth="1"/>
    <col min="19" max="19" width="22.28515625" style="20" customWidth="1"/>
    <col min="20" max="20" width="25" style="14" customWidth="1"/>
    <col min="21" max="21" width="36.42578125" style="21" bestFit="1" customWidth="1"/>
    <col min="22" max="16384" width="11.5703125" style="22"/>
  </cols>
  <sheetData>
    <row r="1" spans="2:21" x14ac:dyDescent="0.2">
      <c r="B1" s="14"/>
      <c r="C1" s="14"/>
      <c r="D1" s="14"/>
      <c r="E1" s="14"/>
      <c r="F1" s="14"/>
      <c r="G1" s="14"/>
      <c r="H1" s="14"/>
      <c r="I1" s="14"/>
      <c r="J1" s="14"/>
      <c r="K1" s="14"/>
      <c r="L1" s="14"/>
      <c r="M1" s="14"/>
      <c r="N1" s="15"/>
    </row>
    <row r="2" spans="2:21" ht="15.75" x14ac:dyDescent="0.25">
      <c r="B2" s="23" t="s">
        <v>112983</v>
      </c>
      <c r="C2" s="14"/>
      <c r="D2" s="14"/>
      <c r="E2" s="14"/>
      <c r="F2" s="14"/>
      <c r="G2" s="14"/>
      <c r="H2" s="14"/>
      <c r="I2" s="14"/>
      <c r="J2" s="14"/>
      <c r="K2" s="14"/>
      <c r="L2" s="14"/>
      <c r="M2" s="14"/>
      <c r="N2" s="15"/>
    </row>
    <row r="3" spans="2:21" ht="15.75" x14ac:dyDescent="0.25">
      <c r="B3" s="23"/>
      <c r="C3" s="14"/>
      <c r="D3" s="14"/>
      <c r="E3" s="14"/>
      <c r="F3" s="14"/>
      <c r="G3" s="14"/>
      <c r="H3" s="14"/>
      <c r="I3" s="14"/>
      <c r="J3" s="14"/>
      <c r="K3" s="14"/>
      <c r="L3" s="14"/>
      <c r="M3" s="14"/>
      <c r="N3" s="15"/>
    </row>
    <row r="4" spans="2:21" ht="15.75" x14ac:dyDescent="0.25">
      <c r="B4" s="23" t="s">
        <v>112984</v>
      </c>
      <c r="C4" s="14"/>
      <c r="D4" s="14"/>
      <c r="E4" s="14"/>
      <c r="F4" s="14"/>
      <c r="G4" s="14"/>
      <c r="H4" s="14"/>
      <c r="I4" s="14"/>
      <c r="J4" s="14"/>
      <c r="K4" s="14"/>
      <c r="L4" s="14"/>
      <c r="N4" s="15"/>
    </row>
    <row r="5" spans="2:21" ht="18" x14ac:dyDescent="0.2">
      <c r="B5" s="14"/>
      <c r="C5" s="14"/>
      <c r="D5" s="14"/>
      <c r="E5" s="14"/>
      <c r="F5" s="14"/>
      <c r="G5" s="14"/>
      <c r="H5" s="14"/>
      <c r="I5" s="14"/>
      <c r="J5" s="14"/>
      <c r="K5" s="14"/>
      <c r="L5" s="14"/>
      <c r="M5" s="14"/>
      <c r="N5" s="15"/>
      <c r="U5" s="302"/>
    </row>
    <row r="6" spans="2:21" ht="45" x14ac:dyDescent="0.2">
      <c r="B6" s="25" t="s">
        <v>105498</v>
      </c>
      <c r="C6" s="25" t="s">
        <v>105499</v>
      </c>
      <c r="D6" s="25" t="s">
        <v>105500</v>
      </c>
      <c r="E6" s="25" t="s">
        <v>105501</v>
      </c>
      <c r="F6" s="25" t="s">
        <v>105502</v>
      </c>
      <c r="G6" s="25" t="s">
        <v>105503</v>
      </c>
      <c r="H6" s="25" t="s">
        <v>105504</v>
      </c>
      <c r="I6" s="25" t="s">
        <v>105505</v>
      </c>
      <c r="J6" s="25" t="s">
        <v>112985</v>
      </c>
      <c r="K6" s="26" t="s">
        <v>112986</v>
      </c>
      <c r="L6" s="27" t="s">
        <v>112987</v>
      </c>
      <c r="M6" s="28" t="s">
        <v>112988</v>
      </c>
      <c r="N6" s="28" t="s">
        <v>112989</v>
      </c>
      <c r="O6" s="29" t="s">
        <v>112990</v>
      </c>
      <c r="P6" s="28" t="s">
        <v>112991</v>
      </c>
      <c r="Q6" s="28" t="s">
        <v>112992</v>
      </c>
      <c r="R6" s="30" t="s">
        <v>113214</v>
      </c>
      <c r="S6" s="31" t="s">
        <v>113198</v>
      </c>
      <c r="T6" s="31" t="s">
        <v>113215</v>
      </c>
      <c r="U6" s="32" t="s">
        <v>112993</v>
      </c>
    </row>
    <row r="7" spans="2:21" ht="15.75" x14ac:dyDescent="0.2">
      <c r="B7" s="33" t="s">
        <v>105516</v>
      </c>
      <c r="C7" s="33" t="s">
        <v>105573</v>
      </c>
      <c r="D7" s="33"/>
      <c r="E7" s="33"/>
      <c r="F7" s="33"/>
      <c r="G7" s="33"/>
      <c r="H7" s="33"/>
      <c r="I7" s="33"/>
      <c r="J7" s="33"/>
      <c r="K7" s="34"/>
      <c r="L7" s="35"/>
      <c r="M7" s="36" t="s">
        <v>112994</v>
      </c>
      <c r="N7" s="37" t="s">
        <v>112995</v>
      </c>
      <c r="O7" s="37" t="s">
        <v>112995</v>
      </c>
      <c r="P7" s="38"/>
      <c r="Q7" s="38"/>
      <c r="R7" s="39">
        <v>5969000000</v>
      </c>
      <c r="S7" s="40"/>
      <c r="T7" s="41"/>
      <c r="U7" s="42" t="s">
        <v>112995</v>
      </c>
    </row>
    <row r="8" spans="2:21" s="53" customFormat="1" ht="15.75" x14ac:dyDescent="0.25">
      <c r="B8" s="43" t="s">
        <v>105516</v>
      </c>
      <c r="C8" s="43" t="s">
        <v>105573</v>
      </c>
      <c r="D8" s="43" t="s">
        <v>105520</v>
      </c>
      <c r="E8" s="43"/>
      <c r="F8" s="43"/>
      <c r="G8" s="43"/>
      <c r="H8" s="43"/>
      <c r="I8" s="43"/>
      <c r="J8" s="43"/>
      <c r="K8" s="44"/>
      <c r="L8" s="45"/>
      <c r="M8" s="46" t="s">
        <v>106083</v>
      </c>
      <c r="N8" s="47" t="s">
        <v>112995</v>
      </c>
      <c r="O8" s="47" t="s">
        <v>112995</v>
      </c>
      <c r="P8" s="48"/>
      <c r="Q8" s="48"/>
      <c r="R8" s="49">
        <v>397000000</v>
      </c>
      <c r="S8" s="50"/>
      <c r="T8" s="51"/>
      <c r="U8" s="52" t="s">
        <v>112995</v>
      </c>
    </row>
    <row r="9" spans="2:21" x14ac:dyDescent="0.2">
      <c r="B9" s="54" t="s">
        <v>105516</v>
      </c>
      <c r="C9" s="54" t="s">
        <v>105573</v>
      </c>
      <c r="D9" s="54" t="s">
        <v>105520</v>
      </c>
      <c r="E9" s="54" t="s">
        <v>105520</v>
      </c>
      <c r="F9" s="54"/>
      <c r="G9" s="54"/>
      <c r="H9" s="54"/>
      <c r="I9" s="54"/>
      <c r="J9" s="54"/>
      <c r="K9" s="55"/>
      <c r="L9" s="55"/>
      <c r="M9" s="56" t="s">
        <v>106085</v>
      </c>
      <c r="N9" s="57" t="s">
        <v>112995</v>
      </c>
      <c r="O9" s="57" t="s">
        <v>112995</v>
      </c>
      <c r="P9" s="58"/>
      <c r="Q9" s="58"/>
      <c r="R9" s="59">
        <v>397000000</v>
      </c>
      <c r="S9" s="60"/>
      <c r="T9" s="61"/>
      <c r="U9" s="62" t="s">
        <v>112995</v>
      </c>
    </row>
    <row r="10" spans="2:21" x14ac:dyDescent="0.2">
      <c r="B10" s="63" t="s">
        <v>105516</v>
      </c>
      <c r="C10" s="63" t="s">
        <v>105573</v>
      </c>
      <c r="D10" s="63" t="s">
        <v>105520</v>
      </c>
      <c r="E10" s="63" t="s">
        <v>105520</v>
      </c>
      <c r="F10" s="63" t="s">
        <v>105541</v>
      </c>
      <c r="G10" s="63"/>
      <c r="H10" s="63"/>
      <c r="I10" s="63"/>
      <c r="J10" s="63"/>
      <c r="K10" s="64"/>
      <c r="L10" s="65"/>
      <c r="M10" s="66" t="s">
        <v>106230</v>
      </c>
      <c r="N10" s="67" t="s">
        <v>112995</v>
      </c>
      <c r="O10" s="67" t="s">
        <v>112995</v>
      </c>
      <c r="P10" s="68"/>
      <c r="Q10" s="68"/>
      <c r="R10" s="69">
        <v>397000000</v>
      </c>
      <c r="S10" s="70"/>
      <c r="T10" s="70"/>
      <c r="U10" s="71" t="s">
        <v>112995</v>
      </c>
    </row>
    <row r="11" spans="2:21" x14ac:dyDescent="0.2">
      <c r="B11" s="72" t="s">
        <v>105516</v>
      </c>
      <c r="C11" s="72" t="s">
        <v>105573</v>
      </c>
      <c r="D11" s="72" t="s">
        <v>105520</v>
      </c>
      <c r="E11" s="72" t="s">
        <v>105520</v>
      </c>
      <c r="F11" s="72" t="s">
        <v>105541</v>
      </c>
      <c r="G11" s="72" t="s">
        <v>105541</v>
      </c>
      <c r="H11" s="72"/>
      <c r="I11" s="72"/>
      <c r="J11" s="72"/>
      <c r="K11" s="73"/>
      <c r="L11" s="73"/>
      <c r="M11" s="74" t="s">
        <v>106246</v>
      </c>
      <c r="N11" s="75" t="s">
        <v>112995</v>
      </c>
      <c r="O11" s="75" t="s">
        <v>112995</v>
      </c>
      <c r="P11" s="76"/>
      <c r="Q11" s="76"/>
      <c r="R11" s="77">
        <v>327000000</v>
      </c>
      <c r="S11" s="78"/>
      <c r="T11" s="78"/>
      <c r="U11" s="79" t="s">
        <v>112995</v>
      </c>
    </row>
    <row r="12" spans="2:21" x14ac:dyDescent="0.2">
      <c r="B12" s="80" t="s">
        <v>105516</v>
      </c>
      <c r="C12" s="80" t="s">
        <v>105573</v>
      </c>
      <c r="D12" s="80" t="s">
        <v>105520</v>
      </c>
      <c r="E12" s="80" t="s">
        <v>105520</v>
      </c>
      <c r="F12" s="80" t="s">
        <v>105541</v>
      </c>
      <c r="G12" s="80" t="s">
        <v>105541</v>
      </c>
      <c r="H12" s="81" t="s">
        <v>105573</v>
      </c>
      <c r="I12" s="80"/>
      <c r="J12" s="80"/>
      <c r="K12" s="80"/>
      <c r="L12" s="80"/>
      <c r="M12" s="82" t="s">
        <v>106250</v>
      </c>
      <c r="N12" s="83" t="s">
        <v>112995</v>
      </c>
      <c r="O12" s="83" t="s">
        <v>112995</v>
      </c>
      <c r="P12" s="84"/>
      <c r="Q12" s="84"/>
      <c r="R12" s="85">
        <v>327000000</v>
      </c>
      <c r="S12" s="86"/>
      <c r="T12" s="86"/>
      <c r="U12" s="87" t="s">
        <v>112995</v>
      </c>
    </row>
    <row r="13" spans="2:21" x14ac:dyDescent="0.2">
      <c r="B13" s="88"/>
      <c r="C13" s="89"/>
      <c r="D13" s="89"/>
      <c r="E13" s="89"/>
      <c r="F13" s="89"/>
      <c r="G13" s="89"/>
      <c r="H13" s="89"/>
      <c r="I13" s="89"/>
      <c r="J13" s="90"/>
      <c r="K13" s="90" t="s">
        <v>106245</v>
      </c>
      <c r="L13" s="91"/>
      <c r="M13" s="92"/>
      <c r="N13" s="93"/>
      <c r="O13" s="93"/>
      <c r="P13" s="94"/>
      <c r="Q13" s="94"/>
      <c r="R13" s="95"/>
      <c r="S13" s="96"/>
      <c r="T13" s="97"/>
      <c r="U13" s="98"/>
    </row>
    <row r="14" spans="2:21" x14ac:dyDescent="0.2">
      <c r="B14" s="88"/>
      <c r="C14" s="89"/>
      <c r="D14" s="89"/>
      <c r="E14" s="89"/>
      <c r="F14" s="89"/>
      <c r="G14" s="89"/>
      <c r="H14" s="89"/>
      <c r="I14" s="89"/>
      <c r="J14" s="90"/>
      <c r="K14" s="90" t="s">
        <v>106245</v>
      </c>
      <c r="L14" s="55"/>
      <c r="M14" s="100"/>
      <c r="N14" s="93"/>
      <c r="O14" s="93"/>
      <c r="P14" s="94"/>
      <c r="Q14" s="94"/>
      <c r="R14" s="95"/>
      <c r="S14" s="96"/>
      <c r="T14" s="97"/>
      <c r="U14" s="98"/>
    </row>
    <row r="15" spans="2:21" x14ac:dyDescent="0.2">
      <c r="B15" s="88"/>
      <c r="C15" s="89"/>
      <c r="D15" s="89"/>
      <c r="E15" s="89"/>
      <c r="F15" s="89"/>
      <c r="G15" s="89"/>
      <c r="H15" s="89"/>
      <c r="I15" s="89"/>
      <c r="J15" s="90"/>
      <c r="K15" s="90" t="s">
        <v>106245</v>
      </c>
      <c r="L15" s="55"/>
      <c r="M15" s="100"/>
      <c r="N15" s="93"/>
      <c r="O15" s="93"/>
      <c r="P15" s="94"/>
      <c r="Q15" s="94"/>
      <c r="R15" s="95"/>
      <c r="S15" s="96"/>
      <c r="T15" s="97"/>
      <c r="U15" s="98"/>
    </row>
    <row r="16" spans="2:21" x14ac:dyDescent="0.2">
      <c r="B16" s="72" t="s">
        <v>105516</v>
      </c>
      <c r="C16" s="72" t="s">
        <v>105573</v>
      </c>
      <c r="D16" s="72" t="s">
        <v>105520</v>
      </c>
      <c r="E16" s="72" t="s">
        <v>105520</v>
      </c>
      <c r="F16" s="72" t="s">
        <v>105541</v>
      </c>
      <c r="G16" s="72" t="s">
        <v>105544</v>
      </c>
      <c r="H16" s="72"/>
      <c r="I16" s="72"/>
      <c r="J16" s="72"/>
      <c r="K16" s="73"/>
      <c r="L16" s="73"/>
      <c r="M16" s="74" t="s">
        <v>106264</v>
      </c>
      <c r="N16" s="75" t="s">
        <v>112995</v>
      </c>
      <c r="O16" s="75" t="s">
        <v>112995</v>
      </c>
      <c r="P16" s="76" t="s">
        <v>112995</v>
      </c>
      <c r="Q16" s="76"/>
      <c r="R16" s="77">
        <v>70000000</v>
      </c>
      <c r="S16" s="78"/>
      <c r="T16" s="78"/>
      <c r="U16" s="79"/>
    </row>
    <row r="17" spans="2:21" x14ac:dyDescent="0.2">
      <c r="B17" s="80" t="s">
        <v>105516</v>
      </c>
      <c r="C17" s="80" t="s">
        <v>105573</v>
      </c>
      <c r="D17" s="80" t="s">
        <v>105520</v>
      </c>
      <c r="E17" s="80" t="s">
        <v>105520</v>
      </c>
      <c r="F17" s="80" t="s">
        <v>105541</v>
      </c>
      <c r="G17" s="80" t="s">
        <v>105544</v>
      </c>
      <c r="H17" s="80" t="s">
        <v>105573</v>
      </c>
      <c r="I17" s="80"/>
      <c r="J17" s="80"/>
      <c r="K17" s="80"/>
      <c r="L17" s="80"/>
      <c r="M17" s="82" t="s">
        <v>113005</v>
      </c>
      <c r="N17" s="83" t="s">
        <v>112995</v>
      </c>
      <c r="O17" s="83" t="s">
        <v>112995</v>
      </c>
      <c r="P17" s="84" t="s">
        <v>112995</v>
      </c>
      <c r="Q17" s="84"/>
      <c r="R17" s="85">
        <v>70000000</v>
      </c>
      <c r="S17" s="86"/>
      <c r="T17" s="86"/>
      <c r="U17" s="101"/>
    </row>
    <row r="18" spans="2:21" x14ac:dyDescent="0.2">
      <c r="B18" s="88"/>
      <c r="C18" s="89"/>
      <c r="D18" s="89"/>
      <c r="E18" s="89"/>
      <c r="F18" s="89"/>
      <c r="G18" s="89"/>
      <c r="H18" s="89"/>
      <c r="I18" s="89"/>
      <c r="J18" s="90"/>
      <c r="K18" s="90" t="s">
        <v>106263</v>
      </c>
      <c r="L18" s="55"/>
      <c r="M18" s="102"/>
      <c r="N18" s="93"/>
      <c r="O18" s="93"/>
      <c r="P18" s="94"/>
      <c r="Q18" s="94"/>
      <c r="R18" s="95"/>
      <c r="S18" s="103"/>
      <c r="T18" s="104"/>
      <c r="U18" s="98"/>
    </row>
    <row r="19" spans="2:21" x14ac:dyDescent="0.2">
      <c r="B19" s="63" t="s">
        <v>105516</v>
      </c>
      <c r="C19" s="63" t="s">
        <v>105573</v>
      </c>
      <c r="D19" s="63" t="s">
        <v>105520</v>
      </c>
      <c r="E19" s="63" t="s">
        <v>105520</v>
      </c>
      <c r="F19" s="63" t="s">
        <v>105547</v>
      </c>
      <c r="G19" s="63"/>
      <c r="H19" s="63"/>
      <c r="I19" s="63"/>
      <c r="J19" s="63"/>
      <c r="K19" s="64"/>
      <c r="L19" s="65"/>
      <c r="M19" s="66" t="s">
        <v>106350</v>
      </c>
      <c r="N19" s="67"/>
      <c r="O19" s="67"/>
      <c r="P19" s="68"/>
      <c r="Q19" s="68"/>
      <c r="R19" s="69">
        <v>0</v>
      </c>
      <c r="S19" s="70"/>
      <c r="T19" s="70"/>
      <c r="U19" s="71"/>
    </row>
    <row r="20" spans="2:21" x14ac:dyDescent="0.2">
      <c r="B20" s="72" t="s">
        <v>105516</v>
      </c>
      <c r="C20" s="72" t="s">
        <v>105573</v>
      </c>
      <c r="D20" s="72" t="s">
        <v>105520</v>
      </c>
      <c r="E20" s="72" t="s">
        <v>105520</v>
      </c>
      <c r="F20" s="72" t="s">
        <v>105547</v>
      </c>
      <c r="G20" s="72" t="s">
        <v>105535</v>
      </c>
      <c r="H20" s="72"/>
      <c r="I20" s="72"/>
      <c r="J20" s="72"/>
      <c r="K20" s="73"/>
      <c r="L20" s="73"/>
      <c r="M20" s="74" t="s">
        <v>106388</v>
      </c>
      <c r="N20" s="75"/>
      <c r="O20" s="75"/>
      <c r="P20" s="76"/>
      <c r="Q20" s="76"/>
      <c r="R20" s="77">
        <v>0</v>
      </c>
      <c r="S20" s="78"/>
      <c r="T20" s="78"/>
      <c r="U20" s="79"/>
    </row>
    <row r="21" spans="2:21" x14ac:dyDescent="0.2">
      <c r="B21" s="80" t="s">
        <v>105516</v>
      </c>
      <c r="C21" s="80" t="s">
        <v>105573</v>
      </c>
      <c r="D21" s="80" t="s">
        <v>105520</v>
      </c>
      <c r="E21" s="80" t="s">
        <v>105520</v>
      </c>
      <c r="F21" s="80" t="s">
        <v>105547</v>
      </c>
      <c r="G21" s="80" t="s">
        <v>105535</v>
      </c>
      <c r="H21" s="80" t="s">
        <v>105675</v>
      </c>
      <c r="I21" s="80"/>
      <c r="J21" s="80"/>
      <c r="K21" s="80"/>
      <c r="L21" s="80"/>
      <c r="M21" s="82" t="s">
        <v>106404</v>
      </c>
      <c r="N21" s="83"/>
      <c r="O21" s="83"/>
      <c r="P21" s="84"/>
      <c r="Q21" s="84"/>
      <c r="R21" s="85">
        <v>0</v>
      </c>
      <c r="S21" s="86"/>
      <c r="T21" s="86"/>
      <c r="U21" s="101"/>
    </row>
    <row r="22" spans="2:21" x14ac:dyDescent="0.2">
      <c r="B22" s="80" t="s">
        <v>105516</v>
      </c>
      <c r="C22" s="80" t="s">
        <v>105573</v>
      </c>
      <c r="D22" s="80" t="s">
        <v>105520</v>
      </c>
      <c r="E22" s="80" t="s">
        <v>105520</v>
      </c>
      <c r="F22" s="80" t="s">
        <v>105547</v>
      </c>
      <c r="G22" s="80" t="s">
        <v>105535</v>
      </c>
      <c r="H22" s="80" t="s">
        <v>105675</v>
      </c>
      <c r="I22" s="80" t="s">
        <v>105576</v>
      </c>
      <c r="J22" s="80"/>
      <c r="K22" s="80"/>
      <c r="L22" s="80"/>
      <c r="M22" s="82" t="s">
        <v>106406</v>
      </c>
      <c r="N22" s="83"/>
      <c r="O22" s="83"/>
      <c r="P22" s="84"/>
      <c r="Q22" s="84"/>
      <c r="R22" s="85">
        <v>0</v>
      </c>
      <c r="S22" s="86"/>
      <c r="T22" s="86"/>
      <c r="U22" s="101"/>
    </row>
    <row r="23" spans="2:21" x14ac:dyDescent="0.2">
      <c r="B23" s="80" t="s">
        <v>105516</v>
      </c>
      <c r="C23" s="80" t="s">
        <v>105573</v>
      </c>
      <c r="D23" s="80" t="s">
        <v>105520</v>
      </c>
      <c r="E23" s="80" t="s">
        <v>105520</v>
      </c>
      <c r="F23" s="80" t="s">
        <v>105547</v>
      </c>
      <c r="G23" s="80" t="s">
        <v>105535</v>
      </c>
      <c r="H23" s="80" t="s">
        <v>105675</v>
      </c>
      <c r="I23" s="80" t="s">
        <v>105576</v>
      </c>
      <c r="J23" s="80" t="s">
        <v>105520</v>
      </c>
      <c r="K23" s="80"/>
      <c r="L23" s="80"/>
      <c r="M23" s="82" t="s">
        <v>106408</v>
      </c>
      <c r="N23" s="83"/>
      <c r="O23" s="83"/>
      <c r="P23" s="84"/>
      <c r="Q23" s="84"/>
      <c r="R23" s="85">
        <v>0</v>
      </c>
      <c r="S23" s="86"/>
      <c r="T23" s="86"/>
      <c r="U23" s="101"/>
    </row>
    <row r="24" spans="2:21" x14ac:dyDescent="0.2">
      <c r="B24" s="88"/>
      <c r="C24" s="89"/>
      <c r="D24" s="89"/>
      <c r="E24" s="89"/>
      <c r="F24" s="89"/>
      <c r="G24" s="89"/>
      <c r="H24" s="89"/>
      <c r="I24" s="89"/>
      <c r="J24" s="90"/>
      <c r="K24" s="90" t="s">
        <v>106387</v>
      </c>
      <c r="L24" s="55"/>
      <c r="M24" s="92"/>
      <c r="N24" s="93"/>
      <c r="O24" s="93"/>
      <c r="P24" s="94"/>
      <c r="Q24" s="94"/>
      <c r="R24" s="95"/>
      <c r="S24" s="96"/>
      <c r="T24" s="97"/>
      <c r="U24" s="98"/>
    </row>
    <row r="25" spans="2:21" s="53" customFormat="1" ht="15.75" x14ac:dyDescent="0.25">
      <c r="B25" s="43" t="s">
        <v>105516</v>
      </c>
      <c r="C25" s="43" t="s">
        <v>105573</v>
      </c>
      <c r="D25" s="43" t="s">
        <v>105573</v>
      </c>
      <c r="E25" s="43"/>
      <c r="F25" s="43"/>
      <c r="G25" s="43"/>
      <c r="H25" s="43"/>
      <c r="I25" s="43"/>
      <c r="J25" s="43"/>
      <c r="K25" s="44"/>
      <c r="L25" s="45"/>
      <c r="M25" s="46" t="s">
        <v>106435</v>
      </c>
      <c r="N25" s="47"/>
      <c r="O25" s="47"/>
      <c r="P25" s="48"/>
      <c r="Q25" s="48"/>
      <c r="R25" s="49">
        <v>8087999999.999999</v>
      </c>
      <c r="S25" s="50"/>
      <c r="T25" s="50"/>
      <c r="U25" s="52"/>
    </row>
    <row r="26" spans="2:21" x14ac:dyDescent="0.2">
      <c r="B26" s="54" t="s">
        <v>105516</v>
      </c>
      <c r="C26" s="54" t="s">
        <v>105573</v>
      </c>
      <c r="D26" s="54" t="s">
        <v>105573</v>
      </c>
      <c r="E26" s="54" t="s">
        <v>105520</v>
      </c>
      <c r="F26" s="54"/>
      <c r="G26" s="54"/>
      <c r="H26" s="54"/>
      <c r="I26" s="54"/>
      <c r="J26" s="54"/>
      <c r="K26" s="55"/>
      <c r="L26" s="55"/>
      <c r="M26" s="56" t="s">
        <v>106437</v>
      </c>
      <c r="N26" s="57"/>
      <c r="O26" s="57"/>
      <c r="P26" s="58"/>
      <c r="Q26" s="58"/>
      <c r="R26" s="59">
        <v>959828063.36000001</v>
      </c>
      <c r="S26" s="60"/>
      <c r="T26" s="60"/>
      <c r="U26" s="105"/>
    </row>
    <row r="27" spans="2:21" x14ac:dyDescent="0.2">
      <c r="B27" s="63" t="s">
        <v>105516</v>
      </c>
      <c r="C27" s="63" t="s">
        <v>105573</v>
      </c>
      <c r="D27" s="63" t="s">
        <v>105573</v>
      </c>
      <c r="E27" s="63" t="s">
        <v>105520</v>
      </c>
      <c r="F27" s="63" t="s">
        <v>106438</v>
      </c>
      <c r="G27" s="63"/>
      <c r="H27" s="63"/>
      <c r="I27" s="63"/>
      <c r="J27" s="63"/>
      <c r="K27" s="64"/>
      <c r="L27" s="65"/>
      <c r="M27" s="66" t="s">
        <v>106440</v>
      </c>
      <c r="N27" s="67"/>
      <c r="O27" s="67"/>
      <c r="P27" s="68"/>
      <c r="Q27" s="68"/>
      <c r="R27" s="69">
        <v>10000000</v>
      </c>
      <c r="S27" s="70"/>
      <c r="T27" s="70"/>
      <c r="U27" s="71"/>
    </row>
    <row r="28" spans="2:21" x14ac:dyDescent="0.2">
      <c r="B28" s="72" t="s">
        <v>105516</v>
      </c>
      <c r="C28" s="72" t="s">
        <v>105573</v>
      </c>
      <c r="D28" s="72" t="s">
        <v>105573</v>
      </c>
      <c r="E28" s="72" t="s">
        <v>105520</v>
      </c>
      <c r="F28" s="72" t="s">
        <v>106438</v>
      </c>
      <c r="G28" s="72" t="s">
        <v>105528</v>
      </c>
      <c r="H28" s="72"/>
      <c r="I28" s="72"/>
      <c r="J28" s="72"/>
      <c r="K28" s="73"/>
      <c r="L28" s="73"/>
      <c r="M28" s="74" t="s">
        <v>106442</v>
      </c>
      <c r="N28" s="75"/>
      <c r="O28" s="75"/>
      <c r="P28" s="76"/>
      <c r="Q28" s="76"/>
      <c r="R28" s="77">
        <v>10000000</v>
      </c>
      <c r="S28" s="78"/>
      <c r="T28" s="78"/>
      <c r="U28" s="79"/>
    </row>
    <row r="29" spans="2:21" x14ac:dyDescent="0.2">
      <c r="B29" s="106" t="s">
        <v>105516</v>
      </c>
      <c r="C29" s="106" t="s">
        <v>105573</v>
      </c>
      <c r="D29" s="106" t="s">
        <v>105573</v>
      </c>
      <c r="E29" s="106" t="s">
        <v>105520</v>
      </c>
      <c r="F29" s="106" t="s">
        <v>106438</v>
      </c>
      <c r="G29" s="106" t="s">
        <v>105528</v>
      </c>
      <c r="H29" s="106" t="s">
        <v>106100</v>
      </c>
      <c r="I29" s="106"/>
      <c r="J29" s="106"/>
      <c r="K29" s="107"/>
      <c r="L29" s="108"/>
      <c r="M29" s="109" t="s">
        <v>106454</v>
      </c>
      <c r="N29" s="110"/>
      <c r="O29" s="110"/>
      <c r="P29" s="111"/>
      <c r="Q29" s="111"/>
      <c r="R29" s="112">
        <v>10000000</v>
      </c>
      <c r="S29" s="113"/>
      <c r="T29" s="113"/>
      <c r="U29" s="114"/>
    </row>
    <row r="30" spans="2:21" x14ac:dyDescent="0.2">
      <c r="B30" s="115"/>
      <c r="C30" s="116"/>
      <c r="D30" s="116"/>
      <c r="E30" s="116"/>
      <c r="F30" s="116"/>
      <c r="G30" s="116"/>
      <c r="H30" s="116"/>
      <c r="I30" s="116"/>
      <c r="J30" s="117"/>
      <c r="K30" s="90" t="s">
        <v>106441</v>
      </c>
      <c r="L30" s="91"/>
      <c r="M30" s="102"/>
      <c r="N30" s="93"/>
      <c r="O30" s="93"/>
      <c r="P30" s="94"/>
      <c r="Q30" s="94"/>
      <c r="R30" s="95"/>
      <c r="S30" s="96"/>
      <c r="T30" s="97"/>
      <c r="U30" s="98"/>
    </row>
    <row r="31" spans="2:21" ht="30" x14ac:dyDescent="0.2">
      <c r="B31" s="63" t="s">
        <v>105516</v>
      </c>
      <c r="C31" s="63" t="s">
        <v>105573</v>
      </c>
      <c r="D31" s="63" t="s">
        <v>105573</v>
      </c>
      <c r="E31" s="63" t="s">
        <v>105520</v>
      </c>
      <c r="F31" s="63" t="s">
        <v>105535</v>
      </c>
      <c r="G31" s="63"/>
      <c r="H31" s="63"/>
      <c r="I31" s="63"/>
      <c r="J31" s="63"/>
      <c r="K31" s="64"/>
      <c r="L31" s="65"/>
      <c r="M31" s="66" t="s">
        <v>106527</v>
      </c>
      <c r="N31" s="67"/>
      <c r="O31" s="67"/>
      <c r="P31" s="68"/>
      <c r="Q31" s="68"/>
      <c r="R31" s="69">
        <v>389400000</v>
      </c>
      <c r="S31" s="70"/>
      <c r="T31" s="70"/>
      <c r="U31" s="71"/>
    </row>
    <row r="32" spans="2:21" ht="30" x14ac:dyDescent="0.2">
      <c r="B32" s="72" t="s">
        <v>105516</v>
      </c>
      <c r="C32" s="72" t="s">
        <v>105573</v>
      </c>
      <c r="D32" s="72" t="s">
        <v>105573</v>
      </c>
      <c r="E32" s="72" t="s">
        <v>105520</v>
      </c>
      <c r="F32" s="72" t="s">
        <v>105535</v>
      </c>
      <c r="G32" s="72" t="s">
        <v>105538</v>
      </c>
      <c r="H32" s="72"/>
      <c r="I32" s="72"/>
      <c r="J32" s="72"/>
      <c r="K32" s="73"/>
      <c r="L32" s="73"/>
      <c r="M32" s="74" t="s">
        <v>106547</v>
      </c>
      <c r="N32" s="75"/>
      <c r="O32" s="75"/>
      <c r="P32" s="76"/>
      <c r="Q32" s="76"/>
      <c r="R32" s="77">
        <v>13100000</v>
      </c>
      <c r="S32" s="78"/>
      <c r="T32" s="78"/>
      <c r="U32" s="79"/>
    </row>
    <row r="33" spans="2:21" x14ac:dyDescent="0.2">
      <c r="B33" s="80" t="s">
        <v>105516</v>
      </c>
      <c r="C33" s="80" t="s">
        <v>105573</v>
      </c>
      <c r="D33" s="80" t="s">
        <v>105573</v>
      </c>
      <c r="E33" s="80" t="s">
        <v>105520</v>
      </c>
      <c r="F33" s="80" t="s">
        <v>105535</v>
      </c>
      <c r="G33" s="80" t="s">
        <v>105538</v>
      </c>
      <c r="H33" s="80" t="s">
        <v>105924</v>
      </c>
      <c r="I33" s="80"/>
      <c r="J33" s="80"/>
      <c r="K33" s="80"/>
      <c r="L33" s="80"/>
      <c r="M33" s="82" t="s">
        <v>106557</v>
      </c>
      <c r="N33" s="83"/>
      <c r="O33" s="83"/>
      <c r="P33" s="84"/>
      <c r="Q33" s="84"/>
      <c r="R33" s="85">
        <v>3100000</v>
      </c>
      <c r="S33" s="86"/>
      <c r="T33" s="86"/>
      <c r="U33" s="101"/>
    </row>
    <row r="34" spans="2:21" x14ac:dyDescent="0.2">
      <c r="B34" s="88"/>
      <c r="C34" s="89"/>
      <c r="D34" s="89"/>
      <c r="E34" s="89"/>
      <c r="F34" s="89"/>
      <c r="G34" s="89"/>
      <c r="H34" s="89"/>
      <c r="I34" s="89"/>
      <c r="J34" s="90"/>
      <c r="K34" s="90" t="s">
        <v>106546</v>
      </c>
      <c r="L34" s="91"/>
      <c r="M34" s="102"/>
      <c r="N34" s="93"/>
      <c r="O34" s="93"/>
      <c r="P34" s="94"/>
      <c r="Q34" s="94"/>
      <c r="R34" s="95"/>
      <c r="S34" s="96"/>
      <c r="T34" s="97"/>
      <c r="U34" s="98"/>
    </row>
    <row r="35" spans="2:21" x14ac:dyDescent="0.2">
      <c r="B35" s="80" t="s">
        <v>105516</v>
      </c>
      <c r="C35" s="80" t="s">
        <v>105573</v>
      </c>
      <c r="D35" s="80" t="s">
        <v>105573</v>
      </c>
      <c r="E35" s="80" t="s">
        <v>105520</v>
      </c>
      <c r="F35" s="80" t="s">
        <v>105535</v>
      </c>
      <c r="G35" s="80" t="s">
        <v>105538</v>
      </c>
      <c r="H35" s="80" t="s">
        <v>106106</v>
      </c>
      <c r="I35" s="80"/>
      <c r="J35" s="80"/>
      <c r="K35" s="80"/>
      <c r="L35" s="80"/>
      <c r="M35" s="82" t="s">
        <v>106563</v>
      </c>
      <c r="N35" s="83"/>
      <c r="O35" s="83"/>
      <c r="P35" s="84"/>
      <c r="Q35" s="84"/>
      <c r="R35" s="85">
        <v>10000000</v>
      </c>
      <c r="S35" s="86"/>
      <c r="T35" s="86"/>
      <c r="U35" s="101"/>
    </row>
    <row r="36" spans="2:21" x14ac:dyDescent="0.2">
      <c r="B36" s="88"/>
      <c r="C36" s="89"/>
      <c r="D36" s="89"/>
      <c r="E36" s="89"/>
      <c r="F36" s="89"/>
      <c r="G36" s="89"/>
      <c r="H36" s="89"/>
      <c r="I36" s="89"/>
      <c r="J36" s="90"/>
      <c r="K36" s="90" t="s">
        <v>106546</v>
      </c>
      <c r="L36" s="55"/>
      <c r="M36" s="102"/>
      <c r="N36" s="93"/>
      <c r="O36" s="93"/>
      <c r="P36" s="94"/>
      <c r="Q36" s="94"/>
      <c r="R36" s="95"/>
      <c r="S36" s="96"/>
      <c r="T36" s="97"/>
      <c r="U36" s="98"/>
    </row>
    <row r="37" spans="2:21" x14ac:dyDescent="0.2">
      <c r="B37" s="72" t="s">
        <v>105516</v>
      </c>
      <c r="C37" s="72" t="s">
        <v>105573</v>
      </c>
      <c r="D37" s="72" t="s">
        <v>105573</v>
      </c>
      <c r="E37" s="72" t="s">
        <v>105520</v>
      </c>
      <c r="F37" s="72" t="s">
        <v>105535</v>
      </c>
      <c r="G37" s="72" t="s">
        <v>105550</v>
      </c>
      <c r="H37" s="72"/>
      <c r="I37" s="72"/>
      <c r="J37" s="72"/>
      <c r="K37" s="73"/>
      <c r="L37" s="73"/>
      <c r="M37" s="74" t="s">
        <v>106581</v>
      </c>
      <c r="N37" s="75"/>
      <c r="O37" s="75"/>
      <c r="P37" s="76"/>
      <c r="Q37" s="76"/>
      <c r="R37" s="77">
        <v>89500000</v>
      </c>
      <c r="S37" s="78"/>
      <c r="T37" s="78"/>
      <c r="U37" s="79"/>
    </row>
    <row r="38" spans="2:21" x14ac:dyDescent="0.2">
      <c r="B38" s="88"/>
      <c r="C38" s="89"/>
      <c r="D38" s="89"/>
      <c r="E38" s="89"/>
      <c r="F38" s="89"/>
      <c r="G38" s="89"/>
      <c r="H38" s="89"/>
      <c r="I38" s="89"/>
      <c r="J38" s="90"/>
      <c r="K38" s="90" t="s">
        <v>106580</v>
      </c>
      <c r="L38" s="55"/>
      <c r="M38" s="102"/>
      <c r="N38" s="93"/>
      <c r="O38" s="93"/>
      <c r="P38" s="94"/>
      <c r="Q38" s="94"/>
      <c r="R38" s="95"/>
      <c r="S38" s="96"/>
      <c r="T38" s="97"/>
      <c r="U38" s="98"/>
    </row>
    <row r="39" spans="2:21" x14ac:dyDescent="0.2">
      <c r="B39" s="88"/>
      <c r="C39" s="89"/>
      <c r="D39" s="89"/>
      <c r="E39" s="89"/>
      <c r="F39" s="89"/>
      <c r="G39" s="89"/>
      <c r="H39" s="89"/>
      <c r="I39" s="89"/>
      <c r="J39" s="90"/>
      <c r="K39" s="90" t="s">
        <v>106580</v>
      </c>
      <c r="L39" s="91"/>
      <c r="M39" s="102"/>
      <c r="N39" s="93"/>
      <c r="O39" s="93"/>
      <c r="P39" s="94"/>
      <c r="Q39" s="94"/>
      <c r="R39" s="95"/>
      <c r="S39" s="96"/>
      <c r="T39" s="97"/>
      <c r="U39" s="98"/>
    </row>
    <row r="40" spans="2:21" x14ac:dyDescent="0.2">
      <c r="B40" s="72" t="s">
        <v>105516</v>
      </c>
      <c r="C40" s="72" t="s">
        <v>105573</v>
      </c>
      <c r="D40" s="72" t="s">
        <v>105573</v>
      </c>
      <c r="E40" s="72" t="s">
        <v>105520</v>
      </c>
      <c r="F40" s="72" t="s">
        <v>105535</v>
      </c>
      <c r="G40" s="72" t="s">
        <v>105553</v>
      </c>
      <c r="H40" s="72"/>
      <c r="I40" s="72"/>
      <c r="J40" s="72"/>
      <c r="K40" s="73"/>
      <c r="L40" s="73"/>
      <c r="M40" s="74" t="s">
        <v>106583</v>
      </c>
      <c r="N40" s="75"/>
      <c r="O40" s="75"/>
      <c r="P40" s="76"/>
      <c r="Q40" s="76"/>
      <c r="R40" s="77">
        <v>286800000</v>
      </c>
      <c r="S40" s="78"/>
      <c r="T40" s="78"/>
      <c r="U40" s="79"/>
    </row>
    <row r="41" spans="2:21" x14ac:dyDescent="0.2">
      <c r="B41" s="88"/>
      <c r="C41" s="89"/>
      <c r="D41" s="89"/>
      <c r="E41" s="89"/>
      <c r="F41" s="89"/>
      <c r="G41" s="89"/>
      <c r="H41" s="89"/>
      <c r="I41" s="89"/>
      <c r="J41" s="90"/>
      <c r="K41" s="90" t="s">
        <v>106582</v>
      </c>
      <c r="L41" s="91"/>
      <c r="M41" s="102"/>
      <c r="N41" s="93"/>
      <c r="O41" s="93"/>
      <c r="P41" s="94"/>
      <c r="Q41" s="94"/>
      <c r="R41" s="95"/>
      <c r="S41" s="96"/>
      <c r="T41" s="97"/>
      <c r="U41" s="98"/>
    </row>
    <row r="42" spans="2:21" x14ac:dyDescent="0.2">
      <c r="B42" s="88"/>
      <c r="C42" s="89"/>
      <c r="D42" s="89"/>
      <c r="E42" s="89"/>
      <c r="F42" s="89"/>
      <c r="G42" s="89"/>
      <c r="H42" s="89"/>
      <c r="I42" s="89"/>
      <c r="J42" s="90"/>
      <c r="K42" s="90" t="s">
        <v>106582</v>
      </c>
      <c r="L42" s="91"/>
      <c r="M42" s="102"/>
      <c r="N42" s="93"/>
      <c r="O42" s="93"/>
      <c r="P42" s="94"/>
      <c r="Q42" s="94"/>
      <c r="R42" s="95"/>
      <c r="S42" s="96"/>
      <c r="T42" s="97"/>
      <c r="U42" s="98"/>
    </row>
    <row r="43" spans="2:21" ht="30" x14ac:dyDescent="0.2">
      <c r="B43" s="63" t="s">
        <v>105516</v>
      </c>
      <c r="C43" s="63" t="s">
        <v>105573</v>
      </c>
      <c r="D43" s="63" t="s">
        <v>105573</v>
      </c>
      <c r="E43" s="63" t="s">
        <v>105520</v>
      </c>
      <c r="F43" s="63" t="s">
        <v>105538</v>
      </c>
      <c r="G43" s="63"/>
      <c r="H43" s="63"/>
      <c r="I43" s="63"/>
      <c r="J43" s="63"/>
      <c r="K43" s="64"/>
      <c r="L43" s="65"/>
      <c r="M43" s="66" t="s">
        <v>106589</v>
      </c>
      <c r="N43" s="67"/>
      <c r="O43" s="67"/>
      <c r="P43" s="68"/>
      <c r="Q43" s="68"/>
      <c r="R43" s="69">
        <v>289200000</v>
      </c>
      <c r="S43" s="70"/>
      <c r="T43" s="70"/>
      <c r="U43" s="71"/>
    </row>
    <row r="44" spans="2:21" ht="30" x14ac:dyDescent="0.2">
      <c r="B44" s="72" t="s">
        <v>105516</v>
      </c>
      <c r="C44" s="72" t="s">
        <v>105573</v>
      </c>
      <c r="D44" s="72" t="s">
        <v>105573</v>
      </c>
      <c r="E44" s="72" t="s">
        <v>105520</v>
      </c>
      <c r="F44" s="72" t="s">
        <v>105538</v>
      </c>
      <c r="G44" s="72" t="s">
        <v>105535</v>
      </c>
      <c r="H44" s="72"/>
      <c r="I44" s="72"/>
      <c r="J44" s="72"/>
      <c r="K44" s="73"/>
      <c r="L44" s="73"/>
      <c r="M44" s="74" t="s">
        <v>106593</v>
      </c>
      <c r="N44" s="75"/>
      <c r="O44" s="75"/>
      <c r="P44" s="76"/>
      <c r="Q44" s="76"/>
      <c r="R44" s="77">
        <v>65000000</v>
      </c>
      <c r="S44" s="78"/>
      <c r="T44" s="78"/>
      <c r="U44" s="79"/>
    </row>
    <row r="45" spans="2:21" x14ac:dyDescent="0.2">
      <c r="B45" s="80" t="s">
        <v>105516</v>
      </c>
      <c r="C45" s="80" t="s">
        <v>105573</v>
      </c>
      <c r="D45" s="80" t="s">
        <v>105573</v>
      </c>
      <c r="E45" s="80" t="s">
        <v>105520</v>
      </c>
      <c r="F45" s="80" t="s">
        <v>105538</v>
      </c>
      <c r="G45" s="80" t="s">
        <v>105535</v>
      </c>
      <c r="H45" s="80" t="s">
        <v>105520</v>
      </c>
      <c r="I45" s="80"/>
      <c r="J45" s="80"/>
      <c r="K45" s="80"/>
      <c r="L45" s="80"/>
      <c r="M45" s="82" t="s">
        <v>106595</v>
      </c>
      <c r="N45" s="83"/>
      <c r="O45" s="83"/>
      <c r="P45" s="84"/>
      <c r="Q45" s="84"/>
      <c r="R45" s="85">
        <v>59500000</v>
      </c>
      <c r="S45" s="86"/>
      <c r="T45" s="86"/>
      <c r="U45" s="101"/>
    </row>
    <row r="46" spans="2:21" x14ac:dyDescent="0.2">
      <c r="B46" s="88"/>
      <c r="C46" s="89"/>
      <c r="D46" s="89"/>
      <c r="E46" s="89"/>
      <c r="F46" s="89"/>
      <c r="G46" s="89"/>
      <c r="H46" s="89"/>
      <c r="I46" s="89"/>
      <c r="J46" s="90"/>
      <c r="K46" s="90" t="s">
        <v>106592</v>
      </c>
      <c r="L46" s="91"/>
      <c r="M46" s="102"/>
      <c r="N46" s="93"/>
      <c r="O46" s="93"/>
      <c r="P46" s="94"/>
      <c r="Q46" s="94"/>
      <c r="R46" s="95"/>
      <c r="S46" s="96"/>
      <c r="T46" s="97"/>
      <c r="U46" s="98"/>
    </row>
    <row r="47" spans="2:21" x14ac:dyDescent="0.2">
      <c r="B47" s="88"/>
      <c r="C47" s="89"/>
      <c r="D47" s="89"/>
      <c r="E47" s="89"/>
      <c r="F47" s="89"/>
      <c r="G47" s="89"/>
      <c r="H47" s="89"/>
      <c r="I47" s="89"/>
      <c r="J47" s="90"/>
      <c r="K47" s="90" t="s">
        <v>106592</v>
      </c>
      <c r="L47" s="91"/>
      <c r="M47" s="92"/>
      <c r="N47" s="93"/>
      <c r="O47" s="93"/>
      <c r="P47" s="94"/>
      <c r="Q47" s="94"/>
      <c r="R47" s="95"/>
      <c r="S47" s="96"/>
      <c r="T47" s="97"/>
      <c r="U47" s="98"/>
    </row>
    <row r="48" spans="2:21" ht="30" x14ac:dyDescent="0.2">
      <c r="B48" s="80" t="s">
        <v>105516</v>
      </c>
      <c r="C48" s="80" t="s">
        <v>105573</v>
      </c>
      <c r="D48" s="80" t="s">
        <v>105573</v>
      </c>
      <c r="E48" s="80" t="s">
        <v>105520</v>
      </c>
      <c r="F48" s="80" t="s">
        <v>105538</v>
      </c>
      <c r="G48" s="80" t="s">
        <v>105535</v>
      </c>
      <c r="H48" s="80" t="s">
        <v>105917</v>
      </c>
      <c r="I48" s="80"/>
      <c r="J48" s="80"/>
      <c r="K48" s="80"/>
      <c r="L48" s="80"/>
      <c r="M48" s="82" t="s">
        <v>106601</v>
      </c>
      <c r="N48" s="83"/>
      <c r="O48" s="83"/>
      <c r="P48" s="84"/>
      <c r="Q48" s="84"/>
      <c r="R48" s="85">
        <v>5500000</v>
      </c>
      <c r="S48" s="86"/>
      <c r="T48" s="86"/>
      <c r="U48" s="101"/>
    </row>
    <row r="49" spans="2:21" x14ac:dyDescent="0.2">
      <c r="B49" s="88"/>
      <c r="C49" s="89"/>
      <c r="D49" s="89"/>
      <c r="E49" s="89"/>
      <c r="F49" s="89"/>
      <c r="G49" s="89"/>
      <c r="H49" s="89"/>
      <c r="I49" s="89"/>
      <c r="J49" s="90"/>
      <c r="K49" s="90" t="s">
        <v>106592</v>
      </c>
      <c r="L49" s="55"/>
      <c r="M49" s="92"/>
      <c r="N49" s="93"/>
      <c r="O49" s="93"/>
      <c r="P49" s="93"/>
      <c r="Q49" s="93"/>
      <c r="R49" s="95"/>
      <c r="S49" s="96"/>
      <c r="T49" s="97"/>
      <c r="U49" s="98"/>
    </row>
    <row r="50" spans="2:21" ht="30" x14ac:dyDescent="0.2">
      <c r="B50" s="72" t="s">
        <v>105516</v>
      </c>
      <c r="C50" s="72" t="s">
        <v>105573</v>
      </c>
      <c r="D50" s="72" t="s">
        <v>105573</v>
      </c>
      <c r="E50" s="72" t="s">
        <v>105520</v>
      </c>
      <c r="F50" s="72" t="s">
        <v>105538</v>
      </c>
      <c r="G50" s="72" t="s">
        <v>105538</v>
      </c>
      <c r="H50" s="72"/>
      <c r="I50" s="72"/>
      <c r="J50" s="72"/>
      <c r="K50" s="73"/>
      <c r="L50" s="73"/>
      <c r="M50" s="74" t="s">
        <v>106611</v>
      </c>
      <c r="N50" s="75"/>
      <c r="O50" s="75"/>
      <c r="P50" s="76"/>
      <c r="Q50" s="76"/>
      <c r="R50" s="77">
        <v>46000000</v>
      </c>
      <c r="S50" s="78"/>
      <c r="T50" s="78"/>
      <c r="U50" s="79"/>
    </row>
    <row r="51" spans="2:21" ht="60" x14ac:dyDescent="0.2">
      <c r="B51" s="80" t="s">
        <v>105516</v>
      </c>
      <c r="C51" s="80" t="s">
        <v>105573</v>
      </c>
      <c r="D51" s="80" t="s">
        <v>105573</v>
      </c>
      <c r="E51" s="80" t="s">
        <v>105520</v>
      </c>
      <c r="F51" s="80" t="s">
        <v>105538</v>
      </c>
      <c r="G51" s="80" t="s">
        <v>105538</v>
      </c>
      <c r="H51" s="80" t="s">
        <v>105675</v>
      </c>
      <c r="I51" s="80"/>
      <c r="J51" s="80"/>
      <c r="K51" s="80"/>
      <c r="L51" s="80"/>
      <c r="M51" s="82" t="s">
        <v>106617</v>
      </c>
      <c r="N51" s="83"/>
      <c r="O51" s="83"/>
      <c r="P51" s="84"/>
      <c r="Q51" s="84"/>
      <c r="R51" s="85">
        <v>6000000</v>
      </c>
      <c r="S51" s="86"/>
      <c r="T51" s="86"/>
      <c r="U51" s="101"/>
    </row>
    <row r="52" spans="2:21" x14ac:dyDescent="0.2">
      <c r="B52" s="88"/>
      <c r="C52" s="89"/>
      <c r="D52" s="89"/>
      <c r="E52" s="89"/>
      <c r="F52" s="89"/>
      <c r="G52" s="89"/>
      <c r="H52" s="89"/>
      <c r="I52" s="89"/>
      <c r="J52" s="90"/>
      <c r="K52" s="90" t="s">
        <v>106610</v>
      </c>
      <c r="L52" s="55"/>
      <c r="M52" s="92"/>
      <c r="N52" s="93"/>
      <c r="O52" s="93"/>
      <c r="P52" s="94"/>
      <c r="Q52" s="94"/>
      <c r="R52" s="95"/>
      <c r="S52" s="96"/>
      <c r="T52" s="97"/>
      <c r="U52" s="98"/>
    </row>
    <row r="53" spans="2:21" ht="30" x14ac:dyDescent="0.2">
      <c r="B53" s="80" t="s">
        <v>105516</v>
      </c>
      <c r="C53" s="80" t="s">
        <v>105573</v>
      </c>
      <c r="D53" s="80" t="s">
        <v>105573</v>
      </c>
      <c r="E53" s="80" t="s">
        <v>105520</v>
      </c>
      <c r="F53" s="80" t="s">
        <v>105538</v>
      </c>
      <c r="G53" s="80" t="s">
        <v>105538</v>
      </c>
      <c r="H53" s="80" t="s">
        <v>105917</v>
      </c>
      <c r="I53" s="80"/>
      <c r="J53" s="80"/>
      <c r="K53" s="80"/>
      <c r="L53" s="80"/>
      <c r="M53" s="82" t="s">
        <v>106619</v>
      </c>
      <c r="N53" s="83"/>
      <c r="O53" s="83"/>
      <c r="P53" s="84"/>
      <c r="Q53" s="84"/>
      <c r="R53" s="85">
        <v>40000000</v>
      </c>
      <c r="S53" s="86"/>
      <c r="T53" s="86"/>
      <c r="U53" s="101"/>
    </row>
    <row r="54" spans="2:21" x14ac:dyDescent="0.2">
      <c r="B54" s="88"/>
      <c r="C54" s="89"/>
      <c r="D54" s="89"/>
      <c r="E54" s="89"/>
      <c r="F54" s="89"/>
      <c r="G54" s="89"/>
      <c r="H54" s="89"/>
      <c r="I54" s="89"/>
      <c r="J54" s="90"/>
      <c r="K54" s="90" t="s">
        <v>106610</v>
      </c>
      <c r="L54" s="55"/>
      <c r="M54" s="100"/>
      <c r="N54" s="93"/>
      <c r="O54" s="93"/>
      <c r="P54" s="94"/>
      <c r="Q54" s="94"/>
      <c r="R54" s="95"/>
      <c r="S54" s="96"/>
      <c r="T54" s="97"/>
      <c r="U54" s="98"/>
    </row>
    <row r="55" spans="2:21" ht="30" x14ac:dyDescent="0.2">
      <c r="B55" s="72" t="s">
        <v>105516</v>
      </c>
      <c r="C55" s="72" t="s">
        <v>105573</v>
      </c>
      <c r="D55" s="72" t="s">
        <v>105573</v>
      </c>
      <c r="E55" s="72" t="s">
        <v>105520</v>
      </c>
      <c r="F55" s="72" t="s">
        <v>105538</v>
      </c>
      <c r="G55" s="72" t="s">
        <v>105544</v>
      </c>
      <c r="H55" s="72"/>
      <c r="I55" s="72"/>
      <c r="J55" s="72"/>
      <c r="K55" s="73"/>
      <c r="L55" s="73"/>
      <c r="M55" s="74" t="s">
        <v>106645</v>
      </c>
      <c r="N55" s="75"/>
      <c r="O55" s="75"/>
      <c r="P55" s="76"/>
      <c r="Q55" s="76"/>
      <c r="R55" s="77">
        <v>83000000</v>
      </c>
      <c r="S55" s="78"/>
      <c r="T55" s="78"/>
      <c r="U55" s="79"/>
    </row>
    <row r="56" spans="2:21" ht="30" x14ac:dyDescent="0.2">
      <c r="B56" s="80" t="s">
        <v>105516</v>
      </c>
      <c r="C56" s="80" t="s">
        <v>105573</v>
      </c>
      <c r="D56" s="80" t="s">
        <v>105573</v>
      </c>
      <c r="E56" s="80" t="s">
        <v>105520</v>
      </c>
      <c r="F56" s="80" t="s">
        <v>105538</v>
      </c>
      <c r="G56" s="80" t="s">
        <v>105544</v>
      </c>
      <c r="H56" s="81" t="s">
        <v>105520</v>
      </c>
      <c r="I56" s="80"/>
      <c r="J56" s="80"/>
      <c r="K56" s="80"/>
      <c r="L56" s="80"/>
      <c r="M56" s="82" t="s">
        <v>106647</v>
      </c>
      <c r="N56" s="83"/>
      <c r="O56" s="83"/>
      <c r="P56" s="84"/>
      <c r="Q56" s="84"/>
      <c r="R56" s="85">
        <v>65000000</v>
      </c>
      <c r="S56" s="86"/>
      <c r="T56" s="86"/>
      <c r="U56" s="101"/>
    </row>
    <row r="57" spans="2:21" x14ac:dyDescent="0.2">
      <c r="B57" s="88"/>
      <c r="C57" s="89"/>
      <c r="D57" s="89"/>
      <c r="E57" s="89"/>
      <c r="F57" s="89"/>
      <c r="G57" s="89"/>
      <c r="H57" s="89"/>
      <c r="I57" s="89"/>
      <c r="J57" s="90"/>
      <c r="K57" s="90" t="s">
        <v>106644</v>
      </c>
      <c r="L57" s="91"/>
      <c r="M57" s="92"/>
      <c r="N57" s="93"/>
      <c r="O57" s="93"/>
      <c r="P57" s="94"/>
      <c r="Q57" s="94"/>
      <c r="R57" s="118"/>
      <c r="S57" s="96"/>
      <c r="T57" s="97"/>
      <c r="U57" s="98"/>
    </row>
    <row r="58" spans="2:21" ht="30" x14ac:dyDescent="0.2">
      <c r="B58" s="80" t="s">
        <v>105516</v>
      </c>
      <c r="C58" s="80" t="s">
        <v>105573</v>
      </c>
      <c r="D58" s="80" t="s">
        <v>105573</v>
      </c>
      <c r="E58" s="80" t="s">
        <v>105520</v>
      </c>
      <c r="F58" s="80" t="s">
        <v>105538</v>
      </c>
      <c r="G58" s="80" t="s">
        <v>105544</v>
      </c>
      <c r="H58" s="80" t="s">
        <v>105675</v>
      </c>
      <c r="I58" s="80"/>
      <c r="J58" s="80"/>
      <c r="K58" s="80"/>
      <c r="L58" s="80"/>
      <c r="M58" s="82" t="s">
        <v>106651</v>
      </c>
      <c r="N58" s="83"/>
      <c r="O58" s="83"/>
      <c r="P58" s="84"/>
      <c r="Q58" s="84"/>
      <c r="R58" s="85">
        <v>18000000</v>
      </c>
      <c r="S58" s="86"/>
      <c r="T58" s="86"/>
      <c r="U58" s="101"/>
    </row>
    <row r="59" spans="2:21" x14ac:dyDescent="0.2">
      <c r="B59" s="88"/>
      <c r="C59" s="89"/>
      <c r="D59" s="89"/>
      <c r="E59" s="89"/>
      <c r="F59" s="89"/>
      <c r="G59" s="89"/>
      <c r="H59" s="89"/>
      <c r="I59" s="89"/>
      <c r="J59" s="90"/>
      <c r="K59" s="90" t="s">
        <v>106644</v>
      </c>
      <c r="L59" s="91"/>
      <c r="M59" s="92"/>
      <c r="N59" s="93"/>
      <c r="O59" s="93"/>
      <c r="P59" s="94"/>
      <c r="Q59" s="94"/>
      <c r="R59" s="95"/>
      <c r="S59" s="96"/>
      <c r="T59" s="97"/>
      <c r="U59" s="98"/>
    </row>
    <row r="60" spans="2:21" x14ac:dyDescent="0.2">
      <c r="B60" s="72" t="s">
        <v>105516</v>
      </c>
      <c r="C60" s="72" t="s">
        <v>105573</v>
      </c>
      <c r="D60" s="72" t="s">
        <v>105573</v>
      </c>
      <c r="E60" s="72" t="s">
        <v>105520</v>
      </c>
      <c r="F60" s="72" t="s">
        <v>105538</v>
      </c>
      <c r="G60" s="72" t="s">
        <v>105547</v>
      </c>
      <c r="H60" s="72"/>
      <c r="I60" s="72"/>
      <c r="J60" s="72"/>
      <c r="K60" s="73"/>
      <c r="L60" s="73"/>
      <c r="M60" s="74" t="s">
        <v>106657</v>
      </c>
      <c r="N60" s="75"/>
      <c r="O60" s="75"/>
      <c r="P60" s="76"/>
      <c r="Q60" s="76"/>
      <c r="R60" s="77">
        <v>65400000</v>
      </c>
      <c r="S60" s="78"/>
      <c r="T60" s="78"/>
      <c r="U60" s="79"/>
    </row>
    <row r="61" spans="2:21" x14ac:dyDescent="0.2">
      <c r="B61" s="80" t="s">
        <v>105516</v>
      </c>
      <c r="C61" s="80" t="s">
        <v>105573</v>
      </c>
      <c r="D61" s="80" t="s">
        <v>105573</v>
      </c>
      <c r="E61" s="80" t="s">
        <v>105520</v>
      </c>
      <c r="F61" s="80" t="s">
        <v>105538</v>
      </c>
      <c r="G61" s="80" t="s">
        <v>105547</v>
      </c>
      <c r="H61" s="80" t="s">
        <v>105520</v>
      </c>
      <c r="I61" s="80"/>
      <c r="J61" s="80"/>
      <c r="K61" s="80"/>
      <c r="L61" s="80"/>
      <c r="M61" s="82" t="s">
        <v>106659</v>
      </c>
      <c r="N61" s="83"/>
      <c r="O61" s="83"/>
      <c r="P61" s="84"/>
      <c r="Q61" s="84"/>
      <c r="R61" s="85">
        <v>10000000</v>
      </c>
      <c r="S61" s="86"/>
      <c r="T61" s="86"/>
      <c r="U61" s="101"/>
    </row>
    <row r="62" spans="2:21" x14ac:dyDescent="0.2">
      <c r="B62" s="88"/>
      <c r="C62" s="89"/>
      <c r="D62" s="89"/>
      <c r="E62" s="89"/>
      <c r="F62" s="89"/>
      <c r="G62" s="89"/>
      <c r="H62" s="89"/>
      <c r="I62" s="89"/>
      <c r="J62" s="90"/>
      <c r="K62" s="90" t="s">
        <v>106656</v>
      </c>
      <c r="L62" s="55"/>
      <c r="M62" s="92"/>
      <c r="N62" s="93"/>
      <c r="O62" s="93"/>
      <c r="P62" s="94"/>
      <c r="Q62" s="94"/>
      <c r="R62" s="95"/>
      <c r="S62" s="96"/>
      <c r="T62" s="97"/>
      <c r="U62" s="98"/>
    </row>
    <row r="63" spans="2:21" x14ac:dyDescent="0.2">
      <c r="B63" s="80" t="s">
        <v>105516</v>
      </c>
      <c r="C63" s="80" t="s">
        <v>105573</v>
      </c>
      <c r="D63" s="80" t="s">
        <v>105573</v>
      </c>
      <c r="E63" s="80" t="s">
        <v>105520</v>
      </c>
      <c r="F63" s="80" t="s">
        <v>105538</v>
      </c>
      <c r="G63" s="80" t="s">
        <v>105547</v>
      </c>
      <c r="H63" s="80" t="s">
        <v>105573</v>
      </c>
      <c r="I63" s="80"/>
      <c r="J63" s="80"/>
      <c r="K63" s="80"/>
      <c r="L63" s="80"/>
      <c r="M63" s="82" t="s">
        <v>106661</v>
      </c>
      <c r="N63" s="83"/>
      <c r="O63" s="83"/>
      <c r="P63" s="84"/>
      <c r="Q63" s="84"/>
      <c r="R63" s="85">
        <v>45400000</v>
      </c>
      <c r="S63" s="86"/>
      <c r="T63" s="86"/>
      <c r="U63" s="101"/>
    </row>
    <row r="64" spans="2:21" x14ac:dyDescent="0.2">
      <c r="B64" s="88"/>
      <c r="C64" s="89"/>
      <c r="D64" s="89"/>
      <c r="E64" s="89"/>
      <c r="F64" s="89"/>
      <c r="G64" s="89"/>
      <c r="H64" s="89"/>
      <c r="I64" s="89"/>
      <c r="J64" s="90"/>
      <c r="K64" s="90" t="s">
        <v>106656</v>
      </c>
      <c r="L64" s="119"/>
      <c r="M64" s="120"/>
      <c r="N64" s="121"/>
      <c r="O64" s="93"/>
      <c r="P64" s="94"/>
      <c r="Q64" s="94"/>
      <c r="R64" s="95"/>
      <c r="S64" s="96"/>
      <c r="T64" s="97"/>
      <c r="U64" s="98"/>
    </row>
    <row r="65" spans="1:21" x14ac:dyDescent="0.2">
      <c r="B65" s="80" t="s">
        <v>105516</v>
      </c>
      <c r="C65" s="80" t="s">
        <v>105573</v>
      </c>
      <c r="D65" s="80" t="s">
        <v>105573</v>
      </c>
      <c r="E65" s="80" t="s">
        <v>105520</v>
      </c>
      <c r="F65" s="80" t="s">
        <v>105538</v>
      </c>
      <c r="G65" s="80" t="s">
        <v>105547</v>
      </c>
      <c r="H65" s="80" t="s">
        <v>106109</v>
      </c>
      <c r="I65" s="80"/>
      <c r="J65" s="80"/>
      <c r="K65" s="80"/>
      <c r="L65" s="122"/>
      <c r="M65" s="109" t="s">
        <v>106667</v>
      </c>
      <c r="N65" s="110"/>
      <c r="O65" s="110"/>
      <c r="P65" s="111"/>
      <c r="Q65" s="111"/>
      <c r="R65" s="112">
        <v>10000000</v>
      </c>
      <c r="S65" s="113"/>
      <c r="T65" s="113"/>
      <c r="U65" s="114"/>
    </row>
    <row r="66" spans="1:21" x14ac:dyDescent="0.2">
      <c r="B66" s="88"/>
      <c r="C66" s="89"/>
      <c r="D66" s="89"/>
      <c r="E66" s="89"/>
      <c r="F66" s="89"/>
      <c r="G66" s="89"/>
      <c r="H66" s="89"/>
      <c r="I66" s="89"/>
      <c r="J66" s="90"/>
      <c r="K66" s="90" t="s">
        <v>106656</v>
      </c>
      <c r="L66" s="91"/>
      <c r="M66" s="92"/>
      <c r="N66" s="93"/>
      <c r="O66" s="93"/>
      <c r="P66" s="94"/>
      <c r="Q66" s="94"/>
      <c r="R66" s="95"/>
      <c r="S66" s="96"/>
      <c r="T66" s="97"/>
      <c r="U66" s="98"/>
    </row>
    <row r="67" spans="1:21" x14ac:dyDescent="0.2">
      <c r="B67" s="72" t="s">
        <v>105516</v>
      </c>
      <c r="C67" s="72" t="s">
        <v>105573</v>
      </c>
      <c r="D67" s="72" t="s">
        <v>105573</v>
      </c>
      <c r="E67" s="72" t="s">
        <v>105520</v>
      </c>
      <c r="F67" s="72" t="s">
        <v>105538</v>
      </c>
      <c r="G67" s="72" t="s">
        <v>105553</v>
      </c>
      <c r="H67" s="72"/>
      <c r="I67" s="72"/>
      <c r="J67" s="72"/>
      <c r="K67" s="73"/>
      <c r="L67" s="73"/>
      <c r="M67" s="74" t="s">
        <v>106685</v>
      </c>
      <c r="N67" s="75"/>
      <c r="O67" s="75"/>
      <c r="P67" s="76"/>
      <c r="Q67" s="76"/>
      <c r="R67" s="77">
        <v>29800000</v>
      </c>
      <c r="S67" s="78"/>
      <c r="T67" s="78"/>
      <c r="U67" s="79"/>
    </row>
    <row r="68" spans="1:21" x14ac:dyDescent="0.2">
      <c r="B68" s="122" t="s">
        <v>105516</v>
      </c>
      <c r="C68" s="122" t="s">
        <v>105573</v>
      </c>
      <c r="D68" s="122" t="s">
        <v>105573</v>
      </c>
      <c r="E68" s="122" t="s">
        <v>105520</v>
      </c>
      <c r="F68" s="122" t="s">
        <v>105538</v>
      </c>
      <c r="G68" s="80" t="s">
        <v>105553</v>
      </c>
      <c r="H68" s="80" t="s">
        <v>106109</v>
      </c>
      <c r="I68" s="122"/>
      <c r="J68" s="122"/>
      <c r="K68" s="108"/>
      <c r="L68" s="108"/>
      <c r="M68" s="109" t="s">
        <v>106701</v>
      </c>
      <c r="N68" s="110"/>
      <c r="O68" s="110"/>
      <c r="P68" s="111"/>
      <c r="Q68" s="111"/>
      <c r="R68" s="112">
        <v>29800000</v>
      </c>
      <c r="S68" s="113"/>
      <c r="T68" s="113"/>
      <c r="U68" s="114"/>
    </row>
    <row r="69" spans="1:21" s="123" customFormat="1" x14ac:dyDescent="0.25">
      <c r="B69" s="88"/>
      <c r="C69" s="89"/>
      <c r="D69" s="89"/>
      <c r="E69" s="89"/>
      <c r="F69" s="89"/>
      <c r="G69" s="89"/>
      <c r="H69" s="89"/>
      <c r="I69" s="89"/>
      <c r="J69" s="90"/>
      <c r="K69" s="90" t="s">
        <v>106684</v>
      </c>
      <c r="L69" s="55"/>
      <c r="M69" s="92"/>
      <c r="N69" s="93"/>
      <c r="O69" s="93"/>
      <c r="P69" s="93"/>
      <c r="Q69" s="93"/>
      <c r="R69" s="95"/>
      <c r="S69" s="96"/>
      <c r="T69" s="98"/>
      <c r="U69" s="98"/>
    </row>
    <row r="70" spans="1:21" x14ac:dyDescent="0.2">
      <c r="B70" s="63" t="s">
        <v>105516</v>
      </c>
      <c r="C70" s="63" t="s">
        <v>105573</v>
      </c>
      <c r="D70" s="63" t="s">
        <v>105573</v>
      </c>
      <c r="E70" s="63" t="s">
        <v>105520</v>
      </c>
      <c r="F70" s="63" t="s">
        <v>105541</v>
      </c>
      <c r="G70" s="63"/>
      <c r="H70" s="63"/>
      <c r="I70" s="63"/>
      <c r="J70" s="63"/>
      <c r="K70" s="64"/>
      <c r="L70" s="65"/>
      <c r="M70" s="66" t="s">
        <v>106705</v>
      </c>
      <c r="N70" s="67"/>
      <c r="O70" s="67"/>
      <c r="P70" s="68"/>
      <c r="Q70" s="68"/>
      <c r="R70" s="69">
        <v>271228063.36000001</v>
      </c>
      <c r="S70" s="70"/>
      <c r="T70" s="70"/>
      <c r="U70" s="71"/>
    </row>
    <row r="71" spans="1:21" x14ac:dyDescent="0.2">
      <c r="B71" s="72" t="s">
        <v>105516</v>
      </c>
      <c r="C71" s="72" t="s">
        <v>105573</v>
      </c>
      <c r="D71" s="72" t="s">
        <v>105573</v>
      </c>
      <c r="E71" s="72" t="s">
        <v>105520</v>
      </c>
      <c r="F71" s="72" t="s">
        <v>105541</v>
      </c>
      <c r="G71" s="72" t="s">
        <v>105541</v>
      </c>
      <c r="H71" s="72"/>
      <c r="I71" s="72"/>
      <c r="J71" s="72"/>
      <c r="K71" s="73"/>
      <c r="L71" s="73"/>
      <c r="M71" s="74" t="s">
        <v>106246</v>
      </c>
      <c r="N71" s="75"/>
      <c r="O71" s="75"/>
      <c r="P71" s="76"/>
      <c r="Q71" s="76"/>
      <c r="R71" s="77">
        <v>20000000</v>
      </c>
      <c r="S71" s="78"/>
      <c r="T71" s="78"/>
      <c r="U71" s="79"/>
    </row>
    <row r="72" spans="1:21" x14ac:dyDescent="0.2">
      <c r="B72" s="80" t="s">
        <v>105516</v>
      </c>
      <c r="C72" s="80" t="s">
        <v>105573</v>
      </c>
      <c r="D72" s="80" t="s">
        <v>105573</v>
      </c>
      <c r="E72" s="80" t="s">
        <v>105520</v>
      </c>
      <c r="F72" s="80" t="s">
        <v>105541</v>
      </c>
      <c r="G72" s="80" t="s">
        <v>105541</v>
      </c>
      <c r="H72" s="80" t="s">
        <v>106109</v>
      </c>
      <c r="I72" s="80"/>
      <c r="J72" s="80"/>
      <c r="K72" s="80"/>
      <c r="L72" s="80"/>
      <c r="M72" s="82" t="s">
        <v>106262</v>
      </c>
      <c r="N72" s="83"/>
      <c r="O72" s="83"/>
      <c r="P72" s="84"/>
      <c r="Q72" s="84"/>
      <c r="R72" s="85">
        <v>20000000</v>
      </c>
      <c r="S72" s="86"/>
      <c r="T72" s="86"/>
      <c r="U72" s="101"/>
    </row>
    <row r="73" spans="1:21" x14ac:dyDescent="0.2">
      <c r="B73" s="88"/>
      <c r="C73" s="89"/>
      <c r="D73" s="89"/>
      <c r="E73" s="89"/>
      <c r="F73" s="89"/>
      <c r="G73" s="89"/>
      <c r="H73" s="89"/>
      <c r="I73" s="89"/>
      <c r="J73" s="90"/>
      <c r="K73" s="90" t="s">
        <v>106717</v>
      </c>
      <c r="L73" s="91"/>
      <c r="M73" s="92"/>
      <c r="N73" s="93"/>
      <c r="O73" s="93"/>
      <c r="P73" s="94"/>
      <c r="Q73" s="94"/>
      <c r="R73" s="95"/>
      <c r="S73" s="96"/>
      <c r="T73" s="97"/>
      <c r="U73" s="98"/>
    </row>
    <row r="74" spans="1:21" x14ac:dyDescent="0.2">
      <c r="B74" s="72" t="s">
        <v>105516</v>
      </c>
      <c r="C74" s="72" t="s">
        <v>105573</v>
      </c>
      <c r="D74" s="72" t="s">
        <v>105573</v>
      </c>
      <c r="E74" s="72" t="s">
        <v>105520</v>
      </c>
      <c r="F74" s="72" t="s">
        <v>105541</v>
      </c>
      <c r="G74" s="72" t="s">
        <v>105544</v>
      </c>
      <c r="H74" s="72"/>
      <c r="I74" s="72"/>
      <c r="J74" s="72"/>
      <c r="K74" s="73"/>
      <c r="L74" s="73"/>
      <c r="M74" s="74" t="s">
        <v>106264</v>
      </c>
      <c r="N74" s="75"/>
      <c r="O74" s="75"/>
      <c r="P74" s="76"/>
      <c r="Q74" s="76"/>
      <c r="R74" s="77">
        <v>2483187.5</v>
      </c>
      <c r="S74" s="78"/>
      <c r="T74" s="78"/>
      <c r="U74" s="79"/>
    </row>
    <row r="75" spans="1:21" ht="30" x14ac:dyDescent="0.2">
      <c r="B75" s="80" t="s">
        <v>105516</v>
      </c>
      <c r="C75" s="80" t="s">
        <v>105573</v>
      </c>
      <c r="D75" s="80" t="s">
        <v>105573</v>
      </c>
      <c r="E75" s="80" t="s">
        <v>105520</v>
      </c>
      <c r="F75" s="80" t="s">
        <v>105541</v>
      </c>
      <c r="G75" s="80" t="s">
        <v>105544</v>
      </c>
      <c r="H75" s="80" t="s">
        <v>105520</v>
      </c>
      <c r="I75" s="80"/>
      <c r="J75" s="80"/>
      <c r="K75" s="80"/>
      <c r="L75" s="80"/>
      <c r="M75" s="82" t="s">
        <v>106266</v>
      </c>
      <c r="N75" s="83"/>
      <c r="O75" s="83"/>
      <c r="P75" s="84"/>
      <c r="Q75" s="84"/>
      <c r="R75" s="85">
        <v>2483187.5</v>
      </c>
      <c r="S75" s="86"/>
      <c r="T75" s="86"/>
      <c r="U75" s="101"/>
    </row>
    <row r="76" spans="1:21" x14ac:dyDescent="0.2">
      <c r="B76" s="88"/>
      <c r="C76" s="89"/>
      <c r="D76" s="89"/>
      <c r="E76" s="89"/>
      <c r="F76" s="89"/>
      <c r="G76" s="89"/>
      <c r="H76" s="89"/>
      <c r="I76" s="89"/>
      <c r="J76" s="90"/>
      <c r="K76" s="90" t="s">
        <v>106726</v>
      </c>
      <c r="L76" s="91"/>
      <c r="M76" s="92"/>
      <c r="N76" s="93"/>
      <c r="O76" s="93"/>
      <c r="P76" s="94"/>
      <c r="Q76" s="94"/>
      <c r="R76" s="95"/>
      <c r="S76" s="96"/>
      <c r="T76" s="97"/>
      <c r="U76" s="98"/>
    </row>
    <row r="77" spans="1:21" x14ac:dyDescent="0.2">
      <c r="B77" s="88"/>
      <c r="C77" s="89"/>
      <c r="D77" s="89"/>
      <c r="E77" s="89"/>
      <c r="F77" s="89"/>
      <c r="G77" s="89"/>
      <c r="H77" s="89"/>
      <c r="I77" s="89"/>
      <c r="J77" s="90"/>
      <c r="K77" s="90" t="s">
        <v>106726</v>
      </c>
      <c r="L77" s="91"/>
      <c r="M77" s="92"/>
      <c r="N77" s="93"/>
      <c r="O77" s="93"/>
      <c r="P77" s="94"/>
      <c r="Q77" s="94"/>
      <c r="R77" s="95"/>
      <c r="S77" s="96"/>
      <c r="T77" s="97"/>
      <c r="U77" s="98"/>
    </row>
    <row r="78" spans="1:21" x14ac:dyDescent="0.2">
      <c r="B78" s="72" t="s">
        <v>105516</v>
      </c>
      <c r="C78" s="72" t="s">
        <v>105573</v>
      </c>
      <c r="D78" s="72" t="s">
        <v>105573</v>
      </c>
      <c r="E78" s="72" t="s">
        <v>105520</v>
      </c>
      <c r="F78" s="72" t="s">
        <v>105541</v>
      </c>
      <c r="G78" s="72" t="s">
        <v>105550</v>
      </c>
      <c r="H78" s="72"/>
      <c r="I78" s="72"/>
      <c r="J78" s="72"/>
      <c r="K78" s="73"/>
      <c r="L78" s="73"/>
      <c r="M78" s="74" t="s">
        <v>106284</v>
      </c>
      <c r="N78" s="75"/>
      <c r="O78" s="75"/>
      <c r="P78" s="76"/>
      <c r="Q78" s="76"/>
      <c r="R78" s="77">
        <v>239744875.86000001</v>
      </c>
      <c r="S78" s="78"/>
      <c r="T78" s="78"/>
      <c r="U78" s="79"/>
    </row>
    <row r="79" spans="1:21" x14ac:dyDescent="0.2">
      <c r="B79" s="80" t="s">
        <v>105516</v>
      </c>
      <c r="C79" s="80" t="s">
        <v>105573</v>
      </c>
      <c r="D79" s="80" t="s">
        <v>105573</v>
      </c>
      <c r="E79" s="80" t="s">
        <v>105520</v>
      </c>
      <c r="F79" s="80" t="s">
        <v>105541</v>
      </c>
      <c r="G79" s="80" t="s">
        <v>105550</v>
      </c>
      <c r="H79" s="80" t="s">
        <v>106106</v>
      </c>
      <c r="I79" s="80"/>
      <c r="J79" s="80"/>
      <c r="K79" s="80"/>
      <c r="L79" s="80"/>
      <c r="M79" s="82" t="s">
        <v>106408</v>
      </c>
      <c r="N79" s="83"/>
      <c r="O79" s="83"/>
      <c r="P79" s="84"/>
      <c r="Q79" s="84"/>
      <c r="R79" s="85">
        <v>239744875.86000001</v>
      </c>
      <c r="S79" s="86"/>
      <c r="T79" s="86"/>
      <c r="U79" s="101"/>
    </row>
    <row r="80" spans="1:21" x14ac:dyDescent="0.2">
      <c r="A80" s="124"/>
      <c r="B80" s="88"/>
      <c r="C80" s="89"/>
      <c r="D80" s="89"/>
      <c r="E80" s="89"/>
      <c r="F80" s="89"/>
      <c r="G80" s="89"/>
      <c r="H80" s="89"/>
      <c r="I80" s="89"/>
      <c r="J80" s="90"/>
      <c r="K80" s="90" t="s">
        <v>106736</v>
      </c>
      <c r="L80" s="91"/>
      <c r="M80" s="102"/>
      <c r="N80" s="93"/>
      <c r="O80" s="93"/>
      <c r="P80" s="94"/>
      <c r="Q80" s="94"/>
      <c r="R80" s="95"/>
      <c r="S80" s="96"/>
      <c r="T80" s="97"/>
      <c r="U80" s="98"/>
    </row>
    <row r="81" spans="1:21" x14ac:dyDescent="0.2">
      <c r="A81" s="124"/>
      <c r="B81" s="88"/>
      <c r="C81" s="89"/>
      <c r="D81" s="89"/>
      <c r="E81" s="89"/>
      <c r="F81" s="89"/>
      <c r="G81" s="89"/>
      <c r="H81" s="89"/>
      <c r="I81" s="89"/>
      <c r="J81" s="90"/>
      <c r="K81" s="90" t="s">
        <v>106736</v>
      </c>
      <c r="L81" s="91"/>
      <c r="M81" s="92"/>
      <c r="N81" s="93"/>
      <c r="O81" s="93"/>
      <c r="P81" s="94"/>
      <c r="Q81" s="94"/>
      <c r="R81" s="95"/>
      <c r="S81" s="96"/>
      <c r="T81" s="97"/>
      <c r="U81" s="98"/>
    </row>
    <row r="82" spans="1:21" x14ac:dyDescent="0.2">
      <c r="B82" s="88"/>
      <c r="C82" s="89"/>
      <c r="D82" s="89"/>
      <c r="E82" s="89"/>
      <c r="F82" s="89"/>
      <c r="G82" s="89"/>
      <c r="H82" s="89"/>
      <c r="I82" s="89"/>
      <c r="J82" s="90"/>
      <c r="K82" s="90" t="s">
        <v>106736</v>
      </c>
      <c r="L82" s="55"/>
      <c r="M82" s="92"/>
      <c r="N82" s="93"/>
      <c r="O82" s="93"/>
      <c r="P82" s="94"/>
      <c r="Q82" s="94"/>
      <c r="R82" s="95"/>
      <c r="S82" s="103"/>
      <c r="T82" s="125"/>
      <c r="U82" s="98"/>
    </row>
    <row r="83" spans="1:21" x14ac:dyDescent="0.2">
      <c r="B83" s="88"/>
      <c r="C83" s="89"/>
      <c r="D83" s="89"/>
      <c r="E83" s="89"/>
      <c r="F83" s="89"/>
      <c r="G83" s="89"/>
      <c r="H83" s="89"/>
      <c r="I83" s="89"/>
      <c r="J83" s="90"/>
      <c r="K83" s="90" t="s">
        <v>106736</v>
      </c>
      <c r="L83" s="55"/>
      <c r="M83" s="92"/>
      <c r="N83" s="93"/>
      <c r="O83" s="93"/>
      <c r="P83" s="94"/>
      <c r="Q83" s="94"/>
      <c r="R83" s="95"/>
      <c r="S83" s="126"/>
      <c r="T83" s="97"/>
      <c r="U83" s="98"/>
    </row>
    <row r="84" spans="1:21" x14ac:dyDescent="0.2">
      <c r="B84" s="88"/>
      <c r="C84" s="89"/>
      <c r="D84" s="89"/>
      <c r="E84" s="89"/>
      <c r="F84" s="89"/>
      <c r="G84" s="89"/>
      <c r="H84" s="89"/>
      <c r="I84" s="89"/>
      <c r="J84" s="90"/>
      <c r="K84" s="90" t="s">
        <v>106736</v>
      </c>
      <c r="L84" s="55"/>
      <c r="M84" s="92"/>
      <c r="N84" s="93"/>
      <c r="O84" s="93"/>
      <c r="P84" s="94"/>
      <c r="Q84" s="94"/>
      <c r="R84" s="95"/>
      <c r="S84" s="96"/>
      <c r="T84" s="97"/>
      <c r="U84" s="98"/>
    </row>
    <row r="85" spans="1:21" ht="30" x14ac:dyDescent="0.2">
      <c r="B85" s="72" t="s">
        <v>105516</v>
      </c>
      <c r="C85" s="72" t="s">
        <v>105573</v>
      </c>
      <c r="D85" s="72" t="s">
        <v>105573</v>
      </c>
      <c r="E85" s="72" t="s">
        <v>105520</v>
      </c>
      <c r="F85" s="72" t="s">
        <v>105541</v>
      </c>
      <c r="G85" s="72" t="s">
        <v>105553</v>
      </c>
      <c r="H85" s="72"/>
      <c r="I85" s="72"/>
      <c r="J85" s="72"/>
      <c r="K85" s="73"/>
      <c r="L85" s="73"/>
      <c r="M85" s="74" t="s">
        <v>106300</v>
      </c>
      <c r="N85" s="75"/>
      <c r="O85" s="75"/>
      <c r="P85" s="76"/>
      <c r="Q85" s="76"/>
      <c r="R85" s="77">
        <v>9000000</v>
      </c>
      <c r="S85" s="78"/>
      <c r="T85" s="78"/>
      <c r="U85" s="79"/>
    </row>
    <row r="86" spans="1:21" ht="60" x14ac:dyDescent="0.2">
      <c r="B86" s="80" t="s">
        <v>105516</v>
      </c>
      <c r="C86" s="80" t="s">
        <v>105573</v>
      </c>
      <c r="D86" s="80" t="s">
        <v>105573</v>
      </c>
      <c r="E86" s="80" t="s">
        <v>105520</v>
      </c>
      <c r="F86" s="80" t="s">
        <v>105541</v>
      </c>
      <c r="G86" s="80" t="s">
        <v>105553</v>
      </c>
      <c r="H86" s="80" t="s">
        <v>105573</v>
      </c>
      <c r="I86" s="80"/>
      <c r="J86" s="80"/>
      <c r="K86" s="80"/>
      <c r="L86" s="80"/>
      <c r="M86" s="82" t="s">
        <v>106304</v>
      </c>
      <c r="N86" s="83"/>
      <c r="O86" s="83"/>
      <c r="P86" s="84"/>
      <c r="Q86" s="84"/>
      <c r="R86" s="85">
        <v>0</v>
      </c>
      <c r="S86" s="86"/>
      <c r="T86" s="86"/>
      <c r="U86" s="101"/>
    </row>
    <row r="87" spans="1:21" x14ac:dyDescent="0.2">
      <c r="B87" s="88"/>
      <c r="C87" s="89"/>
      <c r="D87" s="89"/>
      <c r="E87" s="89"/>
      <c r="F87" s="89"/>
      <c r="G87" s="89"/>
      <c r="H87" s="89"/>
      <c r="I87" s="89"/>
      <c r="J87" s="90"/>
      <c r="K87" s="90" t="s">
        <v>106745</v>
      </c>
      <c r="L87" s="55"/>
      <c r="M87" s="92"/>
      <c r="N87" s="93"/>
      <c r="O87" s="93"/>
      <c r="P87" s="94"/>
      <c r="Q87" s="94"/>
      <c r="R87" s="95"/>
      <c r="S87" s="96"/>
      <c r="T87" s="97"/>
      <c r="U87" s="98"/>
    </row>
    <row r="88" spans="1:21" ht="30" x14ac:dyDescent="0.2">
      <c r="B88" s="80" t="s">
        <v>105516</v>
      </c>
      <c r="C88" s="80" t="s">
        <v>105573</v>
      </c>
      <c r="D88" s="80" t="s">
        <v>105573</v>
      </c>
      <c r="E88" s="80" t="s">
        <v>105520</v>
      </c>
      <c r="F88" s="80" t="s">
        <v>105541</v>
      </c>
      <c r="G88" s="80" t="s">
        <v>105553</v>
      </c>
      <c r="H88" s="80" t="s">
        <v>105675</v>
      </c>
      <c r="I88" s="80"/>
      <c r="J88" s="80"/>
      <c r="K88" s="80"/>
      <c r="L88" s="80"/>
      <c r="M88" s="82" t="s">
        <v>106306</v>
      </c>
      <c r="N88" s="83"/>
      <c r="O88" s="83"/>
      <c r="P88" s="84"/>
      <c r="Q88" s="84"/>
      <c r="R88" s="85">
        <v>9000000</v>
      </c>
      <c r="S88" s="86"/>
      <c r="T88" s="86"/>
      <c r="U88" s="101"/>
    </row>
    <row r="89" spans="1:21" x14ac:dyDescent="0.2">
      <c r="B89" s="88"/>
      <c r="C89" s="89"/>
      <c r="D89" s="89"/>
      <c r="E89" s="89"/>
      <c r="F89" s="89"/>
      <c r="G89" s="89"/>
      <c r="H89" s="89"/>
      <c r="I89" s="89"/>
      <c r="J89" s="90"/>
      <c r="K89" s="90" t="s">
        <v>106745</v>
      </c>
      <c r="L89" s="119"/>
      <c r="M89" s="120"/>
      <c r="N89" s="121"/>
      <c r="O89" s="93"/>
      <c r="P89" s="94"/>
      <c r="Q89" s="94"/>
      <c r="R89" s="95"/>
      <c r="S89" s="96"/>
      <c r="T89" s="97"/>
      <c r="U89" s="98"/>
    </row>
    <row r="90" spans="1:21" x14ac:dyDescent="0.2">
      <c r="B90" s="54" t="s">
        <v>105516</v>
      </c>
      <c r="C90" s="54" t="s">
        <v>105573</v>
      </c>
      <c r="D90" s="54" t="s">
        <v>105573</v>
      </c>
      <c r="E90" s="54" t="s">
        <v>105573</v>
      </c>
      <c r="F90" s="54"/>
      <c r="G90" s="54"/>
      <c r="H90" s="54"/>
      <c r="I90" s="54"/>
      <c r="J90" s="54"/>
      <c r="K90" s="55"/>
      <c r="L90" s="55"/>
      <c r="M90" s="56" t="s">
        <v>106777</v>
      </c>
      <c r="N90" s="57"/>
      <c r="O90" s="57"/>
      <c r="P90" s="58"/>
      <c r="Q90" s="58"/>
      <c r="R90" s="59">
        <v>7128171936.6399994</v>
      </c>
      <c r="S90" s="60"/>
      <c r="T90" s="60"/>
      <c r="U90" s="105"/>
    </row>
    <row r="91" spans="1:21" ht="45" x14ac:dyDescent="0.2">
      <c r="B91" s="63" t="s">
        <v>105516</v>
      </c>
      <c r="C91" s="63" t="s">
        <v>105573</v>
      </c>
      <c r="D91" s="63" t="s">
        <v>105573</v>
      </c>
      <c r="E91" s="63" t="s">
        <v>105573</v>
      </c>
      <c r="F91" s="63" t="s">
        <v>105547</v>
      </c>
      <c r="G91" s="63"/>
      <c r="H91" s="63"/>
      <c r="I91" s="63"/>
      <c r="J91" s="63"/>
      <c r="K91" s="64"/>
      <c r="L91" s="65"/>
      <c r="M91" s="66" t="s">
        <v>106817</v>
      </c>
      <c r="N91" s="67"/>
      <c r="O91" s="67"/>
      <c r="P91" s="68"/>
      <c r="Q91" s="68"/>
      <c r="R91" s="69">
        <v>964776888</v>
      </c>
      <c r="S91" s="70"/>
      <c r="T91" s="70"/>
      <c r="U91" s="71"/>
    </row>
    <row r="92" spans="1:21" x14ac:dyDescent="0.2">
      <c r="B92" s="72" t="s">
        <v>105516</v>
      </c>
      <c r="C92" s="72" t="s">
        <v>105573</v>
      </c>
      <c r="D92" s="72" t="s">
        <v>105573</v>
      </c>
      <c r="E92" s="72" t="s">
        <v>105573</v>
      </c>
      <c r="F92" s="72" t="s">
        <v>105547</v>
      </c>
      <c r="G92" s="72" t="s">
        <v>105541</v>
      </c>
      <c r="H92" s="72"/>
      <c r="I92" s="72"/>
      <c r="J92" s="72"/>
      <c r="K92" s="73"/>
      <c r="L92" s="73"/>
      <c r="M92" s="74" t="s">
        <v>106829</v>
      </c>
      <c r="N92" s="75"/>
      <c r="O92" s="75"/>
      <c r="P92" s="76"/>
      <c r="Q92" s="76"/>
      <c r="R92" s="77">
        <v>48000000</v>
      </c>
      <c r="S92" s="78"/>
      <c r="T92" s="78"/>
      <c r="U92" s="79"/>
    </row>
    <row r="93" spans="1:21" x14ac:dyDescent="0.2">
      <c r="B93" s="88"/>
      <c r="C93" s="89"/>
      <c r="D93" s="89"/>
      <c r="E93" s="89"/>
      <c r="F93" s="89"/>
      <c r="G93" s="89"/>
      <c r="H93" s="89"/>
      <c r="I93" s="89"/>
      <c r="J93" s="90"/>
      <c r="K93" s="90" t="s">
        <v>106828</v>
      </c>
      <c r="L93" s="91"/>
      <c r="M93" s="92"/>
      <c r="N93" s="93"/>
      <c r="O93" s="93"/>
      <c r="P93" s="94"/>
      <c r="Q93" s="94"/>
      <c r="R93" s="95"/>
      <c r="S93" s="96"/>
      <c r="T93" s="97"/>
      <c r="U93" s="98"/>
    </row>
    <row r="94" spans="1:21" x14ac:dyDescent="0.2">
      <c r="B94" s="88"/>
      <c r="C94" s="89"/>
      <c r="D94" s="89"/>
      <c r="E94" s="89"/>
      <c r="F94" s="89"/>
      <c r="G94" s="89"/>
      <c r="H94" s="89"/>
      <c r="I94" s="89"/>
      <c r="J94" s="90"/>
      <c r="K94" s="90" t="s">
        <v>106828</v>
      </c>
      <c r="L94" s="91"/>
      <c r="M94" s="92"/>
      <c r="N94" s="93"/>
      <c r="O94" s="93"/>
      <c r="P94" s="94"/>
      <c r="Q94" s="94"/>
      <c r="R94" s="95"/>
      <c r="S94" s="96"/>
      <c r="T94" s="97"/>
      <c r="U94" s="98"/>
    </row>
    <row r="95" spans="1:21" x14ac:dyDescent="0.2">
      <c r="B95" s="88"/>
      <c r="C95" s="89"/>
      <c r="D95" s="89"/>
      <c r="E95" s="89"/>
      <c r="F95" s="89"/>
      <c r="G95" s="89"/>
      <c r="H95" s="89"/>
      <c r="I95" s="89"/>
      <c r="J95" s="90"/>
      <c r="K95" s="90" t="s">
        <v>106828</v>
      </c>
      <c r="L95" s="127"/>
      <c r="M95" s="92"/>
      <c r="N95" s="93"/>
      <c r="O95" s="93"/>
      <c r="P95" s="93"/>
      <c r="Q95" s="93"/>
      <c r="R95" s="95"/>
      <c r="S95" s="96"/>
      <c r="T95" s="97"/>
      <c r="U95" s="98"/>
    </row>
    <row r="96" spans="1:21" x14ac:dyDescent="0.2">
      <c r="B96" s="72" t="s">
        <v>105516</v>
      </c>
      <c r="C96" s="72" t="s">
        <v>105573</v>
      </c>
      <c r="D96" s="72" t="s">
        <v>105573</v>
      </c>
      <c r="E96" s="72" t="s">
        <v>105573</v>
      </c>
      <c r="F96" s="72" t="s">
        <v>105547</v>
      </c>
      <c r="G96" s="72" t="s">
        <v>105553</v>
      </c>
      <c r="H96" s="72"/>
      <c r="I96" s="72"/>
      <c r="J96" s="72"/>
      <c r="K96" s="73"/>
      <c r="L96" s="73"/>
      <c r="M96" s="74" t="s">
        <v>106857</v>
      </c>
      <c r="N96" s="75"/>
      <c r="O96" s="75"/>
      <c r="P96" s="76"/>
      <c r="Q96" s="76"/>
      <c r="R96" s="77">
        <v>11500000</v>
      </c>
      <c r="S96" s="78"/>
      <c r="T96" s="78"/>
      <c r="U96" s="79"/>
    </row>
    <row r="97" spans="2:21" x14ac:dyDescent="0.2">
      <c r="B97" s="88"/>
      <c r="C97" s="89"/>
      <c r="D97" s="89"/>
      <c r="E97" s="89"/>
      <c r="F97" s="89"/>
      <c r="G97" s="89"/>
      <c r="H97" s="89"/>
      <c r="I97" s="89"/>
      <c r="J97" s="90"/>
      <c r="K97" s="90" t="s">
        <v>106856</v>
      </c>
      <c r="L97" s="128"/>
      <c r="M97" s="92"/>
      <c r="N97" s="93"/>
      <c r="O97" s="93"/>
      <c r="P97" s="94"/>
      <c r="Q97" s="94"/>
      <c r="R97" s="95"/>
      <c r="S97" s="96"/>
      <c r="T97" s="97"/>
      <c r="U97" s="98"/>
    </row>
    <row r="98" spans="2:21" x14ac:dyDescent="0.2">
      <c r="B98" s="88"/>
      <c r="C98" s="89"/>
      <c r="D98" s="89"/>
      <c r="E98" s="89"/>
      <c r="F98" s="89"/>
      <c r="G98" s="89"/>
      <c r="H98" s="89"/>
      <c r="I98" s="89"/>
      <c r="J98" s="90"/>
      <c r="K98" s="90" t="s">
        <v>106856</v>
      </c>
      <c r="L98" s="127"/>
      <c r="M98" s="92"/>
      <c r="N98" s="93"/>
      <c r="O98" s="93"/>
      <c r="P98" s="94"/>
      <c r="Q98" s="93"/>
      <c r="R98" s="95"/>
      <c r="S98" s="96"/>
      <c r="T98" s="97"/>
      <c r="U98" s="98"/>
    </row>
    <row r="99" spans="2:21" ht="30" x14ac:dyDescent="0.2">
      <c r="B99" s="72" t="s">
        <v>105516</v>
      </c>
      <c r="C99" s="72" t="s">
        <v>105573</v>
      </c>
      <c r="D99" s="72" t="s">
        <v>105573</v>
      </c>
      <c r="E99" s="72" t="s">
        <v>105573</v>
      </c>
      <c r="F99" s="72" t="s">
        <v>105547</v>
      </c>
      <c r="G99" s="72" t="s">
        <v>105556</v>
      </c>
      <c r="H99" s="72"/>
      <c r="I99" s="72"/>
      <c r="J99" s="72"/>
      <c r="K99" s="73"/>
      <c r="L99" s="73"/>
      <c r="M99" s="74" t="s">
        <v>106859</v>
      </c>
      <c r="N99" s="75"/>
      <c r="O99" s="75"/>
      <c r="P99" s="76"/>
      <c r="Q99" s="76"/>
      <c r="R99" s="77">
        <v>905276888</v>
      </c>
      <c r="S99" s="78"/>
      <c r="T99" s="78"/>
      <c r="U99" s="79"/>
    </row>
    <row r="100" spans="2:21" ht="30" x14ac:dyDescent="0.2">
      <c r="B100" s="80" t="s">
        <v>105516</v>
      </c>
      <c r="C100" s="80" t="s">
        <v>105573</v>
      </c>
      <c r="D100" s="80" t="s">
        <v>105573</v>
      </c>
      <c r="E100" s="80" t="s">
        <v>105573</v>
      </c>
      <c r="F100" s="80" t="s">
        <v>105547</v>
      </c>
      <c r="G100" s="80" t="s">
        <v>105556</v>
      </c>
      <c r="H100" s="80" t="s">
        <v>105520</v>
      </c>
      <c r="I100" s="80"/>
      <c r="J100" s="80"/>
      <c r="K100" s="80"/>
      <c r="L100" s="80"/>
      <c r="M100" s="82" t="s">
        <v>106861</v>
      </c>
      <c r="N100" s="83"/>
      <c r="O100" s="83"/>
      <c r="P100" s="84"/>
      <c r="Q100" s="84"/>
      <c r="R100" s="85">
        <v>905276888</v>
      </c>
      <c r="S100" s="86"/>
      <c r="T100" s="86"/>
      <c r="U100" s="101"/>
    </row>
    <row r="101" spans="2:21" x14ac:dyDescent="0.2">
      <c r="B101" s="88"/>
      <c r="C101" s="89"/>
      <c r="D101" s="89"/>
      <c r="E101" s="89"/>
      <c r="F101" s="89"/>
      <c r="G101" s="89"/>
      <c r="H101" s="89"/>
      <c r="I101" s="89"/>
      <c r="J101" s="90"/>
      <c r="K101" s="90" t="s">
        <v>106858</v>
      </c>
      <c r="L101" s="128"/>
      <c r="M101" s="92"/>
      <c r="N101" s="93"/>
      <c r="O101" s="93"/>
      <c r="P101" s="94"/>
      <c r="Q101" s="93"/>
      <c r="R101" s="95"/>
      <c r="S101" s="96"/>
      <c r="T101" s="129"/>
      <c r="U101" s="98"/>
    </row>
    <row r="102" spans="2:21" ht="30" x14ac:dyDescent="0.2">
      <c r="B102" s="63" t="s">
        <v>105516</v>
      </c>
      <c r="C102" s="63" t="s">
        <v>105573</v>
      </c>
      <c r="D102" s="63" t="s">
        <v>105573</v>
      </c>
      <c r="E102" s="63" t="s">
        <v>105573</v>
      </c>
      <c r="F102" s="63" t="s">
        <v>105550</v>
      </c>
      <c r="G102" s="63"/>
      <c r="H102" s="63"/>
      <c r="I102" s="63"/>
      <c r="J102" s="63"/>
      <c r="K102" s="64"/>
      <c r="L102" s="65"/>
      <c r="M102" s="66" t="s">
        <v>106865</v>
      </c>
      <c r="N102" s="67"/>
      <c r="O102" s="67"/>
      <c r="P102" s="68"/>
      <c r="Q102" s="68"/>
      <c r="R102" s="69">
        <v>4220000000</v>
      </c>
      <c r="S102" s="70"/>
      <c r="T102" s="70"/>
      <c r="U102" s="71"/>
    </row>
    <row r="103" spans="2:21" x14ac:dyDescent="0.2">
      <c r="B103" s="72" t="s">
        <v>105516</v>
      </c>
      <c r="C103" s="72" t="s">
        <v>105573</v>
      </c>
      <c r="D103" s="72" t="s">
        <v>105573</v>
      </c>
      <c r="E103" s="72" t="s">
        <v>105573</v>
      </c>
      <c r="F103" s="72" t="s">
        <v>105550</v>
      </c>
      <c r="G103" s="72" t="s">
        <v>105528</v>
      </c>
      <c r="H103" s="72"/>
      <c r="I103" s="72"/>
      <c r="J103" s="72"/>
      <c r="K103" s="73"/>
      <c r="L103" s="73"/>
      <c r="M103" s="74" t="s">
        <v>106867</v>
      </c>
      <c r="N103" s="75"/>
      <c r="O103" s="75"/>
      <c r="P103" s="76"/>
      <c r="Q103" s="76"/>
      <c r="R103" s="77">
        <v>4220000000</v>
      </c>
      <c r="S103" s="78"/>
      <c r="T103" s="78"/>
      <c r="U103" s="79"/>
    </row>
    <row r="104" spans="2:21" ht="30" x14ac:dyDescent="0.2">
      <c r="B104" s="80" t="s">
        <v>105516</v>
      </c>
      <c r="C104" s="80" t="s">
        <v>105573</v>
      </c>
      <c r="D104" s="80" t="s">
        <v>105573</v>
      </c>
      <c r="E104" s="80" t="s">
        <v>105573</v>
      </c>
      <c r="F104" s="80" t="s">
        <v>105550</v>
      </c>
      <c r="G104" s="80" t="s">
        <v>105528</v>
      </c>
      <c r="H104" s="80" t="s">
        <v>105675</v>
      </c>
      <c r="I104" s="80"/>
      <c r="J104" s="80"/>
      <c r="K104" s="80"/>
      <c r="L104" s="80"/>
      <c r="M104" s="82" t="s">
        <v>106882</v>
      </c>
      <c r="N104" s="83"/>
      <c r="O104" s="83"/>
      <c r="P104" s="84"/>
      <c r="Q104" s="84"/>
      <c r="R104" s="85">
        <v>4220000000</v>
      </c>
      <c r="S104" s="86"/>
      <c r="T104" s="86"/>
      <c r="U104" s="101"/>
    </row>
    <row r="105" spans="2:21" ht="30" x14ac:dyDescent="0.2">
      <c r="B105" s="80" t="s">
        <v>105516</v>
      </c>
      <c r="C105" s="80" t="s">
        <v>105573</v>
      </c>
      <c r="D105" s="80" t="s">
        <v>105573</v>
      </c>
      <c r="E105" s="80" t="s">
        <v>105573</v>
      </c>
      <c r="F105" s="80" t="s">
        <v>105550</v>
      </c>
      <c r="G105" s="80" t="s">
        <v>105528</v>
      </c>
      <c r="H105" s="80" t="s">
        <v>105675</v>
      </c>
      <c r="I105" s="80" t="s">
        <v>106217</v>
      </c>
      <c r="J105" s="80"/>
      <c r="K105" s="80"/>
      <c r="L105" s="80"/>
      <c r="M105" s="82" t="s">
        <v>106892</v>
      </c>
      <c r="N105" s="83"/>
      <c r="O105" s="83"/>
      <c r="P105" s="84"/>
      <c r="Q105" s="84"/>
      <c r="R105" s="85">
        <v>4220000000</v>
      </c>
      <c r="S105" s="86"/>
      <c r="T105" s="86"/>
      <c r="U105" s="101"/>
    </row>
    <row r="106" spans="2:21" ht="30" x14ac:dyDescent="0.2">
      <c r="B106" s="80" t="s">
        <v>105516</v>
      </c>
      <c r="C106" s="80" t="s">
        <v>105573</v>
      </c>
      <c r="D106" s="80" t="s">
        <v>105573</v>
      </c>
      <c r="E106" s="80" t="s">
        <v>105573</v>
      </c>
      <c r="F106" s="80" t="s">
        <v>105550</v>
      </c>
      <c r="G106" s="80" t="s">
        <v>105528</v>
      </c>
      <c r="H106" s="80" t="s">
        <v>105675</v>
      </c>
      <c r="I106" s="80" t="s">
        <v>106217</v>
      </c>
      <c r="J106" s="80" t="s">
        <v>105917</v>
      </c>
      <c r="K106" s="80"/>
      <c r="L106" s="80"/>
      <c r="M106" s="82" t="s">
        <v>106900</v>
      </c>
      <c r="N106" s="83"/>
      <c r="O106" s="83"/>
      <c r="P106" s="84"/>
      <c r="Q106" s="84"/>
      <c r="R106" s="85">
        <v>4212000000</v>
      </c>
      <c r="S106" s="86"/>
      <c r="T106" s="86"/>
      <c r="U106" s="101"/>
    </row>
    <row r="107" spans="2:21" ht="30" x14ac:dyDescent="0.2">
      <c r="B107" s="88"/>
      <c r="C107" s="89"/>
      <c r="D107" s="89"/>
      <c r="E107" s="89"/>
      <c r="F107" s="89"/>
      <c r="G107" s="89"/>
      <c r="H107" s="89"/>
      <c r="I107" s="89"/>
      <c r="J107" s="90"/>
      <c r="K107" s="90" t="s">
        <v>106866</v>
      </c>
      <c r="L107" s="130" t="s">
        <v>113067</v>
      </c>
      <c r="M107" s="131" t="s">
        <v>106900</v>
      </c>
      <c r="N107" s="121">
        <v>44928</v>
      </c>
      <c r="O107" s="93" t="s">
        <v>113060</v>
      </c>
      <c r="P107" s="132" t="s">
        <v>113068</v>
      </c>
      <c r="Q107" s="132" t="s">
        <v>113069</v>
      </c>
      <c r="R107" s="95">
        <v>6000460000</v>
      </c>
      <c r="S107" s="96"/>
      <c r="T107" s="95"/>
      <c r="U107" s="98" t="s">
        <v>113000</v>
      </c>
    </row>
    <row r="108" spans="2:21" ht="30" x14ac:dyDescent="0.2">
      <c r="B108" s="80" t="s">
        <v>105516</v>
      </c>
      <c r="C108" s="80" t="s">
        <v>105573</v>
      </c>
      <c r="D108" s="80" t="s">
        <v>105573</v>
      </c>
      <c r="E108" s="80" t="s">
        <v>105573</v>
      </c>
      <c r="F108" s="80" t="s">
        <v>105550</v>
      </c>
      <c r="G108" s="80" t="s">
        <v>105528</v>
      </c>
      <c r="H108" s="80" t="s">
        <v>105675</v>
      </c>
      <c r="I108" s="80" t="s">
        <v>106217</v>
      </c>
      <c r="J108" s="80" t="s">
        <v>106103</v>
      </c>
      <c r="K108" s="80"/>
      <c r="L108" s="80"/>
      <c r="M108" s="82" t="s">
        <v>106906</v>
      </c>
      <c r="N108" s="83"/>
      <c r="O108" s="83"/>
      <c r="P108" s="84"/>
      <c r="Q108" s="84"/>
      <c r="R108" s="85">
        <v>8000000</v>
      </c>
      <c r="S108" s="86"/>
      <c r="T108" s="86"/>
      <c r="U108" s="101"/>
    </row>
    <row r="109" spans="2:21" x14ac:dyDescent="0.2">
      <c r="B109" s="88"/>
      <c r="C109" s="89"/>
      <c r="D109" s="89"/>
      <c r="E109" s="89"/>
      <c r="F109" s="89"/>
      <c r="G109" s="89"/>
      <c r="H109" s="89"/>
      <c r="I109" s="89"/>
      <c r="J109" s="90"/>
      <c r="K109" s="90" t="s">
        <v>106866</v>
      </c>
      <c r="L109" s="91"/>
      <c r="M109" s="92"/>
      <c r="N109" s="93"/>
      <c r="O109" s="93"/>
      <c r="P109" s="132"/>
      <c r="Q109" s="94"/>
      <c r="R109" s="95"/>
      <c r="S109" s="96"/>
      <c r="T109" s="97"/>
      <c r="U109" s="98"/>
    </row>
    <row r="110" spans="2:21" ht="30" x14ac:dyDescent="0.2">
      <c r="B110" s="63" t="s">
        <v>105516</v>
      </c>
      <c r="C110" s="63" t="s">
        <v>105573</v>
      </c>
      <c r="D110" s="63" t="s">
        <v>105573</v>
      </c>
      <c r="E110" s="63" t="s">
        <v>105573</v>
      </c>
      <c r="F110" s="63" t="s">
        <v>105553</v>
      </c>
      <c r="G110" s="63"/>
      <c r="H110" s="63"/>
      <c r="I110" s="63"/>
      <c r="J110" s="63"/>
      <c r="K110" s="64"/>
      <c r="L110" s="65"/>
      <c r="M110" s="66" t="s">
        <v>106978</v>
      </c>
      <c r="N110" s="67"/>
      <c r="O110" s="67"/>
      <c r="P110" s="68"/>
      <c r="Q110" s="68"/>
      <c r="R110" s="69">
        <v>1480304936.6399999</v>
      </c>
      <c r="S110" s="70"/>
      <c r="T110" s="70"/>
      <c r="U110" s="71"/>
    </row>
    <row r="111" spans="2:21" x14ac:dyDescent="0.2">
      <c r="B111" s="72" t="s">
        <v>105516</v>
      </c>
      <c r="C111" s="72" t="s">
        <v>105573</v>
      </c>
      <c r="D111" s="72" t="s">
        <v>105573</v>
      </c>
      <c r="E111" s="72" t="s">
        <v>105573</v>
      </c>
      <c r="F111" s="72" t="s">
        <v>105553</v>
      </c>
      <c r="G111" s="72" t="s">
        <v>105535</v>
      </c>
      <c r="H111" s="72"/>
      <c r="I111" s="72"/>
      <c r="J111" s="72"/>
      <c r="K111" s="73"/>
      <c r="L111" s="73"/>
      <c r="M111" s="74" t="s">
        <v>106988</v>
      </c>
      <c r="N111" s="75"/>
      <c r="O111" s="75"/>
      <c r="P111" s="76"/>
      <c r="Q111" s="76"/>
      <c r="R111" s="77">
        <v>159439000</v>
      </c>
      <c r="S111" s="78"/>
      <c r="T111" s="78"/>
      <c r="U111" s="79"/>
    </row>
    <row r="112" spans="2:21" x14ac:dyDescent="0.2">
      <c r="B112" s="80" t="s">
        <v>105516</v>
      </c>
      <c r="C112" s="80" t="s">
        <v>105573</v>
      </c>
      <c r="D112" s="80" t="s">
        <v>105573</v>
      </c>
      <c r="E112" s="80" t="s">
        <v>105573</v>
      </c>
      <c r="F112" s="80" t="s">
        <v>105553</v>
      </c>
      <c r="G112" s="80" t="s">
        <v>105535</v>
      </c>
      <c r="H112" s="80" t="s">
        <v>105520</v>
      </c>
      <c r="I112" s="80"/>
      <c r="J112" s="80"/>
      <c r="K112" s="80"/>
      <c r="L112" s="80"/>
      <c r="M112" s="82" t="s">
        <v>106990</v>
      </c>
      <c r="N112" s="83"/>
      <c r="O112" s="83"/>
      <c r="P112" s="84"/>
      <c r="Q112" s="84"/>
      <c r="R112" s="85">
        <v>159439000</v>
      </c>
      <c r="S112" s="86"/>
      <c r="T112" s="86"/>
      <c r="U112" s="101"/>
    </row>
    <row r="113" spans="2:21" x14ac:dyDescent="0.2">
      <c r="B113" s="88"/>
      <c r="C113" s="89"/>
      <c r="D113" s="89"/>
      <c r="E113" s="89"/>
      <c r="F113" s="89"/>
      <c r="G113" s="89"/>
      <c r="H113" s="89"/>
      <c r="I113" s="89"/>
      <c r="J113" s="90"/>
      <c r="K113" s="90" t="s">
        <v>106987</v>
      </c>
      <c r="L113" s="55"/>
      <c r="M113" s="92"/>
      <c r="N113" s="93"/>
      <c r="O113" s="93"/>
      <c r="P113" s="94"/>
      <c r="Q113" s="94"/>
      <c r="R113" s="95"/>
      <c r="S113" s="126"/>
      <c r="T113" s="97"/>
      <c r="U113" s="98"/>
    </row>
    <row r="114" spans="2:21" x14ac:dyDescent="0.2">
      <c r="B114" s="88"/>
      <c r="C114" s="89"/>
      <c r="D114" s="89"/>
      <c r="E114" s="89"/>
      <c r="F114" s="89"/>
      <c r="G114" s="89"/>
      <c r="H114" s="89"/>
      <c r="I114" s="89"/>
      <c r="J114" s="90"/>
      <c r="K114" s="90" t="s">
        <v>106987</v>
      </c>
      <c r="L114" s="128"/>
      <c r="M114" s="92"/>
      <c r="N114" s="93"/>
      <c r="O114" s="93"/>
      <c r="P114" s="94"/>
      <c r="Q114" s="94"/>
      <c r="R114" s="95"/>
      <c r="S114" s="126"/>
      <c r="T114" s="97"/>
      <c r="U114" s="98"/>
    </row>
    <row r="115" spans="2:21" x14ac:dyDescent="0.2">
      <c r="B115" s="88"/>
      <c r="C115" s="89"/>
      <c r="D115" s="89"/>
      <c r="E115" s="89"/>
      <c r="F115" s="89"/>
      <c r="G115" s="89"/>
      <c r="H115" s="89"/>
      <c r="I115" s="89"/>
      <c r="J115" s="90"/>
      <c r="K115" s="90" t="s">
        <v>106987</v>
      </c>
      <c r="L115" s="128"/>
      <c r="M115" s="92"/>
      <c r="N115" s="93"/>
      <c r="O115" s="93"/>
      <c r="P115" s="94"/>
      <c r="Q115" s="94"/>
      <c r="R115" s="95"/>
      <c r="S115" s="133"/>
      <c r="T115" s="134"/>
      <c r="U115" s="98"/>
    </row>
    <row r="116" spans="2:21" x14ac:dyDescent="0.2">
      <c r="B116" s="72" t="s">
        <v>105516</v>
      </c>
      <c r="C116" s="72" t="s">
        <v>105573</v>
      </c>
      <c r="D116" s="72" t="s">
        <v>105573</v>
      </c>
      <c r="E116" s="72" t="s">
        <v>105573</v>
      </c>
      <c r="F116" s="72" t="s">
        <v>105553</v>
      </c>
      <c r="G116" s="72" t="s">
        <v>105538</v>
      </c>
      <c r="H116" s="72"/>
      <c r="I116" s="72"/>
      <c r="J116" s="72"/>
      <c r="K116" s="73"/>
      <c r="L116" s="73"/>
      <c r="M116" s="74" t="s">
        <v>106998</v>
      </c>
      <c r="N116" s="75"/>
      <c r="O116" s="75"/>
      <c r="P116" s="76"/>
      <c r="Q116" s="76"/>
      <c r="R116" s="77">
        <v>1008428289.6399999</v>
      </c>
      <c r="S116" s="78"/>
      <c r="T116" s="78"/>
      <c r="U116" s="135"/>
    </row>
    <row r="117" spans="2:21" ht="30" x14ac:dyDescent="0.2">
      <c r="B117" s="80" t="s">
        <v>105516</v>
      </c>
      <c r="C117" s="80" t="s">
        <v>105573</v>
      </c>
      <c r="D117" s="80" t="s">
        <v>105573</v>
      </c>
      <c r="E117" s="80" t="s">
        <v>105573</v>
      </c>
      <c r="F117" s="80" t="s">
        <v>105553</v>
      </c>
      <c r="G117" s="80" t="s">
        <v>105538</v>
      </c>
      <c r="H117" s="80" t="s">
        <v>105520</v>
      </c>
      <c r="I117" s="80"/>
      <c r="J117" s="80"/>
      <c r="K117" s="80"/>
      <c r="L117" s="80"/>
      <c r="M117" s="82" t="s">
        <v>107000</v>
      </c>
      <c r="N117" s="83"/>
      <c r="O117" s="83"/>
      <c r="P117" s="84"/>
      <c r="Q117" s="84"/>
      <c r="R117" s="85">
        <v>1008428289.6399999</v>
      </c>
      <c r="S117" s="86"/>
      <c r="T117" s="86"/>
      <c r="U117" s="101"/>
    </row>
    <row r="118" spans="2:21" ht="30" x14ac:dyDescent="0.2">
      <c r="B118" s="80" t="s">
        <v>105516</v>
      </c>
      <c r="C118" s="80" t="s">
        <v>105573</v>
      </c>
      <c r="D118" s="80" t="s">
        <v>105573</v>
      </c>
      <c r="E118" s="80" t="s">
        <v>105573</v>
      </c>
      <c r="F118" s="80" t="s">
        <v>105553</v>
      </c>
      <c r="G118" s="80" t="s">
        <v>105538</v>
      </c>
      <c r="H118" s="80" t="s">
        <v>105520</v>
      </c>
      <c r="I118" s="80" t="s">
        <v>105576</v>
      </c>
      <c r="J118" s="122"/>
      <c r="K118" s="122"/>
      <c r="L118" s="122"/>
      <c r="M118" s="82" t="s">
        <v>107002</v>
      </c>
      <c r="N118" s="83"/>
      <c r="O118" s="83"/>
      <c r="P118" s="84"/>
      <c r="Q118" s="111"/>
      <c r="R118" s="85">
        <v>328881860.32999998</v>
      </c>
      <c r="S118" s="86"/>
      <c r="T118" s="86"/>
      <c r="U118" s="101"/>
    </row>
    <row r="119" spans="2:21" x14ac:dyDescent="0.2">
      <c r="B119" s="88"/>
      <c r="C119" s="89"/>
      <c r="D119" s="89"/>
      <c r="E119" s="89"/>
      <c r="F119" s="89"/>
      <c r="G119" s="89"/>
      <c r="H119" s="89"/>
      <c r="I119" s="89"/>
      <c r="J119" s="90"/>
      <c r="K119" s="90" t="s">
        <v>106997</v>
      </c>
      <c r="L119" s="55"/>
      <c r="M119" s="102"/>
      <c r="N119" s="93"/>
      <c r="O119" s="93"/>
      <c r="P119" s="94"/>
      <c r="Q119" s="94"/>
      <c r="R119" s="95"/>
      <c r="S119" s="133"/>
      <c r="T119" s="136"/>
      <c r="U119" s="98"/>
    </row>
    <row r="120" spans="2:21" x14ac:dyDescent="0.2">
      <c r="B120" s="88"/>
      <c r="C120" s="89"/>
      <c r="D120" s="89"/>
      <c r="E120" s="89"/>
      <c r="F120" s="89"/>
      <c r="G120" s="89"/>
      <c r="H120" s="89"/>
      <c r="I120" s="89"/>
      <c r="J120" s="90"/>
      <c r="K120" s="90" t="s">
        <v>106997</v>
      </c>
      <c r="L120" s="55"/>
      <c r="M120" s="102"/>
      <c r="N120" s="93"/>
      <c r="O120" s="93"/>
      <c r="P120" s="94"/>
      <c r="Q120" s="94"/>
      <c r="R120" s="95"/>
      <c r="S120" s="137"/>
      <c r="T120" s="104"/>
      <c r="U120" s="100"/>
    </row>
    <row r="121" spans="2:21" x14ac:dyDescent="0.2">
      <c r="B121" s="88"/>
      <c r="C121" s="89"/>
      <c r="D121" s="89"/>
      <c r="E121" s="89"/>
      <c r="F121" s="89"/>
      <c r="G121" s="89"/>
      <c r="H121" s="89"/>
      <c r="I121" s="89"/>
      <c r="J121" s="90"/>
      <c r="K121" s="90" t="s">
        <v>106997</v>
      </c>
      <c r="L121" s="55"/>
      <c r="M121" s="102"/>
      <c r="N121" s="93"/>
      <c r="O121" s="93"/>
      <c r="P121" s="94"/>
      <c r="Q121" s="94"/>
      <c r="R121" s="95"/>
      <c r="S121" s="96"/>
      <c r="T121" s="97"/>
      <c r="U121" s="100"/>
    </row>
    <row r="122" spans="2:21" x14ac:dyDescent="0.2">
      <c r="B122" s="88"/>
      <c r="C122" s="89"/>
      <c r="D122" s="89"/>
      <c r="E122" s="89"/>
      <c r="F122" s="89"/>
      <c r="G122" s="89"/>
      <c r="H122" s="89"/>
      <c r="I122" s="89"/>
      <c r="J122" s="90"/>
      <c r="K122" s="90" t="s">
        <v>106997</v>
      </c>
      <c r="L122" s="55"/>
      <c r="M122" s="102"/>
      <c r="N122" s="93"/>
      <c r="O122" s="93"/>
      <c r="P122" s="94"/>
      <c r="Q122" s="94"/>
      <c r="R122" s="95"/>
      <c r="S122" s="96"/>
      <c r="T122" s="97"/>
      <c r="U122" s="92"/>
    </row>
    <row r="123" spans="2:21" x14ac:dyDescent="0.2">
      <c r="B123" s="88"/>
      <c r="C123" s="89"/>
      <c r="D123" s="89"/>
      <c r="E123" s="89"/>
      <c r="F123" s="89"/>
      <c r="G123" s="89"/>
      <c r="H123" s="89"/>
      <c r="I123" s="89"/>
      <c r="J123" s="90"/>
      <c r="K123" s="90" t="s">
        <v>106997</v>
      </c>
      <c r="L123" s="55"/>
      <c r="M123" s="102"/>
      <c r="N123" s="93"/>
      <c r="O123" s="93"/>
      <c r="P123" s="94"/>
      <c r="Q123" s="94"/>
      <c r="R123" s="95"/>
      <c r="S123" s="96"/>
      <c r="T123" s="97"/>
      <c r="U123" s="92"/>
    </row>
    <row r="124" spans="2:21" x14ac:dyDescent="0.2">
      <c r="B124" s="138"/>
      <c r="C124" s="139"/>
      <c r="D124" s="139"/>
      <c r="E124" s="139"/>
      <c r="F124" s="139"/>
      <c r="G124" s="139"/>
      <c r="H124" s="139"/>
      <c r="I124" s="139"/>
      <c r="J124" s="140"/>
      <c r="K124" s="140" t="s">
        <v>106997</v>
      </c>
      <c r="L124" s="55"/>
      <c r="M124" s="92"/>
      <c r="N124" s="93"/>
      <c r="O124" s="93"/>
      <c r="P124" s="94"/>
      <c r="Q124" s="94"/>
      <c r="R124" s="95"/>
      <c r="S124" s="96"/>
      <c r="T124" s="97"/>
      <c r="U124" s="100"/>
    </row>
    <row r="125" spans="2:21" x14ac:dyDescent="0.2">
      <c r="B125" s="138"/>
      <c r="C125" s="139"/>
      <c r="D125" s="139"/>
      <c r="E125" s="139"/>
      <c r="F125" s="139"/>
      <c r="G125" s="139"/>
      <c r="H125" s="139"/>
      <c r="I125" s="139"/>
      <c r="J125" s="140"/>
      <c r="K125" s="140" t="s">
        <v>106997</v>
      </c>
      <c r="L125" s="91"/>
      <c r="M125" s="92"/>
      <c r="N125" s="93"/>
      <c r="O125" s="93"/>
      <c r="P125" s="94"/>
      <c r="Q125" s="94"/>
      <c r="R125" s="95"/>
      <c r="S125" s="96"/>
      <c r="T125" s="97"/>
      <c r="U125" s="100"/>
    </row>
    <row r="126" spans="2:21" x14ac:dyDescent="0.2">
      <c r="B126" s="138"/>
      <c r="C126" s="139"/>
      <c r="D126" s="139"/>
      <c r="E126" s="139"/>
      <c r="F126" s="139"/>
      <c r="G126" s="139"/>
      <c r="H126" s="139"/>
      <c r="I126" s="139"/>
      <c r="J126" s="140"/>
      <c r="K126" s="140" t="s">
        <v>106997</v>
      </c>
      <c r="L126" s="128"/>
      <c r="M126" s="92"/>
      <c r="N126" s="93"/>
      <c r="O126" s="93"/>
      <c r="P126" s="94"/>
      <c r="Q126" s="94"/>
      <c r="R126" s="95"/>
      <c r="S126" s="96"/>
      <c r="T126" s="97"/>
      <c r="U126" s="100"/>
    </row>
    <row r="127" spans="2:21" x14ac:dyDescent="0.2">
      <c r="B127" s="80" t="s">
        <v>105516</v>
      </c>
      <c r="C127" s="80" t="s">
        <v>105573</v>
      </c>
      <c r="D127" s="80" t="s">
        <v>105573</v>
      </c>
      <c r="E127" s="80" t="s">
        <v>105573</v>
      </c>
      <c r="F127" s="80" t="s">
        <v>105553</v>
      </c>
      <c r="G127" s="80" t="s">
        <v>105538</v>
      </c>
      <c r="H127" s="80" t="s">
        <v>105520</v>
      </c>
      <c r="I127" s="80" t="s">
        <v>105579</v>
      </c>
      <c r="J127" s="80"/>
      <c r="K127" s="80"/>
      <c r="L127" s="80"/>
      <c r="M127" s="82" t="s">
        <v>107004</v>
      </c>
      <c r="N127" s="83"/>
      <c r="O127" s="83"/>
      <c r="P127" s="84"/>
      <c r="Q127" s="111"/>
      <c r="R127" s="85">
        <v>8500000</v>
      </c>
      <c r="S127" s="86"/>
      <c r="T127" s="86"/>
      <c r="U127" s="101"/>
    </row>
    <row r="128" spans="2:21" x14ac:dyDescent="0.2">
      <c r="B128" s="88"/>
      <c r="C128" s="89"/>
      <c r="D128" s="89"/>
      <c r="E128" s="89"/>
      <c r="F128" s="89"/>
      <c r="G128" s="89"/>
      <c r="H128" s="89"/>
      <c r="I128" s="89"/>
      <c r="J128" s="90"/>
      <c r="K128" s="90" t="s">
        <v>106997</v>
      </c>
      <c r="L128" s="55"/>
      <c r="M128" s="92"/>
      <c r="N128" s="93"/>
      <c r="O128" s="93"/>
      <c r="P128" s="94"/>
      <c r="Q128" s="94"/>
      <c r="R128" s="95"/>
      <c r="S128" s="96"/>
      <c r="T128" s="97"/>
      <c r="U128" s="98"/>
    </row>
    <row r="129" spans="2:21" ht="30" x14ac:dyDescent="0.2">
      <c r="B129" s="80" t="s">
        <v>105516</v>
      </c>
      <c r="C129" s="80" t="s">
        <v>105573</v>
      </c>
      <c r="D129" s="80" t="s">
        <v>105573</v>
      </c>
      <c r="E129" s="80" t="s">
        <v>105573</v>
      </c>
      <c r="F129" s="80" t="s">
        <v>105553</v>
      </c>
      <c r="G129" s="80" t="s">
        <v>105538</v>
      </c>
      <c r="H129" s="80" t="s">
        <v>105520</v>
      </c>
      <c r="I129" s="80" t="s">
        <v>106211</v>
      </c>
      <c r="J129" s="80"/>
      <c r="K129" s="80"/>
      <c r="L129" s="80"/>
      <c r="M129" s="82" t="s">
        <v>107006</v>
      </c>
      <c r="N129" s="83"/>
      <c r="O129" s="83"/>
      <c r="P129" s="84"/>
      <c r="Q129" s="84"/>
      <c r="R129" s="85">
        <v>671046429.30999994</v>
      </c>
      <c r="S129" s="86"/>
      <c r="T129" s="86"/>
      <c r="U129" s="101"/>
    </row>
    <row r="130" spans="2:21" x14ac:dyDescent="0.2">
      <c r="B130" s="88"/>
      <c r="C130" s="89"/>
      <c r="D130" s="89"/>
      <c r="E130" s="89"/>
      <c r="F130" s="89"/>
      <c r="G130" s="89"/>
      <c r="H130" s="89"/>
      <c r="I130" s="89"/>
      <c r="J130" s="90"/>
      <c r="K130" s="90" t="s">
        <v>106997</v>
      </c>
      <c r="L130" s="91"/>
      <c r="M130" s="92"/>
      <c r="N130" s="93"/>
      <c r="O130" s="93"/>
      <c r="P130" s="94"/>
      <c r="Q130" s="94"/>
      <c r="R130" s="95"/>
      <c r="S130" s="96"/>
      <c r="T130" s="97"/>
      <c r="U130" s="98"/>
    </row>
    <row r="131" spans="2:21" x14ac:dyDescent="0.2">
      <c r="B131" s="88"/>
      <c r="C131" s="89"/>
      <c r="D131" s="89"/>
      <c r="E131" s="89"/>
      <c r="F131" s="89"/>
      <c r="G131" s="89"/>
      <c r="H131" s="89"/>
      <c r="I131" s="89"/>
      <c r="J131" s="90"/>
      <c r="K131" s="90" t="s">
        <v>106997</v>
      </c>
      <c r="L131" s="91"/>
      <c r="M131" s="92"/>
      <c r="N131" s="93"/>
      <c r="O131" s="93"/>
      <c r="P131" s="94"/>
      <c r="Q131" s="94"/>
      <c r="R131" s="95"/>
      <c r="S131" s="126"/>
      <c r="T131" s="97"/>
      <c r="U131" s="98"/>
    </row>
    <row r="132" spans="2:21" x14ac:dyDescent="0.2">
      <c r="B132" s="88"/>
      <c r="C132" s="89"/>
      <c r="D132" s="89"/>
      <c r="E132" s="89"/>
      <c r="F132" s="89"/>
      <c r="G132" s="89"/>
      <c r="H132" s="89"/>
      <c r="I132" s="89"/>
      <c r="J132" s="90"/>
      <c r="K132" s="90" t="s">
        <v>106997</v>
      </c>
      <c r="L132" s="91"/>
      <c r="M132" s="92"/>
      <c r="N132" s="93"/>
      <c r="O132" s="93"/>
      <c r="P132" s="94"/>
      <c r="Q132" s="94"/>
      <c r="R132" s="118"/>
      <c r="S132" s="96"/>
      <c r="T132" s="97"/>
      <c r="U132" s="98"/>
    </row>
    <row r="133" spans="2:21" x14ac:dyDescent="0.2">
      <c r="B133" s="88"/>
      <c r="C133" s="89"/>
      <c r="D133" s="89"/>
      <c r="E133" s="89"/>
      <c r="F133" s="89"/>
      <c r="G133" s="89"/>
      <c r="H133" s="89"/>
      <c r="I133" s="89"/>
      <c r="J133" s="90"/>
      <c r="K133" s="90" t="s">
        <v>106997</v>
      </c>
      <c r="L133" s="91"/>
      <c r="M133" s="92"/>
      <c r="N133" s="93"/>
      <c r="O133" s="93"/>
      <c r="P133" s="94"/>
      <c r="Q133" s="94"/>
      <c r="R133" s="118"/>
      <c r="S133" s="96"/>
      <c r="T133" s="97"/>
      <c r="U133" s="98"/>
    </row>
    <row r="134" spans="2:21" x14ac:dyDescent="0.2">
      <c r="B134" s="88"/>
      <c r="C134" s="89"/>
      <c r="D134" s="89"/>
      <c r="E134" s="89"/>
      <c r="F134" s="89"/>
      <c r="G134" s="89"/>
      <c r="H134" s="89"/>
      <c r="I134" s="89"/>
      <c r="J134" s="90"/>
      <c r="K134" s="90" t="s">
        <v>106997</v>
      </c>
      <c r="L134" s="91"/>
      <c r="M134" s="92"/>
      <c r="N134" s="93"/>
      <c r="O134" s="93"/>
      <c r="P134" s="94"/>
      <c r="Q134" s="94"/>
      <c r="R134" s="118"/>
      <c r="S134" s="96"/>
      <c r="T134" s="97"/>
      <c r="U134" s="98"/>
    </row>
    <row r="135" spans="2:21" x14ac:dyDescent="0.2">
      <c r="B135" s="88"/>
      <c r="C135" s="89"/>
      <c r="D135" s="89"/>
      <c r="E135" s="89"/>
      <c r="F135" s="89"/>
      <c r="G135" s="89"/>
      <c r="H135" s="89"/>
      <c r="I135" s="89"/>
      <c r="J135" s="90"/>
      <c r="K135" s="90" t="s">
        <v>106997</v>
      </c>
      <c r="L135" s="91"/>
      <c r="M135" s="102"/>
      <c r="N135" s="93"/>
      <c r="O135" s="93"/>
      <c r="P135" s="94"/>
      <c r="Q135" s="94"/>
      <c r="R135" s="118"/>
      <c r="S135" s="96"/>
      <c r="T135" s="97"/>
      <c r="U135" s="98"/>
    </row>
    <row r="136" spans="2:21" x14ac:dyDescent="0.2">
      <c r="B136" s="88"/>
      <c r="C136" s="89"/>
      <c r="D136" s="89"/>
      <c r="E136" s="89"/>
      <c r="F136" s="89"/>
      <c r="G136" s="89"/>
      <c r="H136" s="89"/>
      <c r="I136" s="89"/>
      <c r="J136" s="90"/>
      <c r="K136" s="90" t="s">
        <v>106997</v>
      </c>
      <c r="L136" s="91"/>
      <c r="M136" s="92"/>
      <c r="N136" s="93"/>
      <c r="O136" s="93"/>
      <c r="P136" s="94"/>
      <c r="Q136" s="94"/>
      <c r="R136" s="95"/>
      <c r="S136" s="96"/>
      <c r="T136" s="141"/>
      <c r="U136" s="98"/>
    </row>
    <row r="137" spans="2:21" x14ac:dyDescent="0.2">
      <c r="B137" s="88"/>
      <c r="C137" s="89"/>
      <c r="D137" s="89"/>
      <c r="E137" s="89"/>
      <c r="F137" s="89"/>
      <c r="G137" s="89"/>
      <c r="H137" s="89"/>
      <c r="I137" s="89"/>
      <c r="J137" s="90"/>
      <c r="K137" s="90" t="s">
        <v>106997</v>
      </c>
      <c r="L137" s="91"/>
      <c r="M137" s="92"/>
      <c r="N137" s="93"/>
      <c r="O137" s="93"/>
      <c r="P137" s="94"/>
      <c r="Q137" s="94"/>
      <c r="R137" s="95"/>
      <c r="S137" s="96"/>
      <c r="T137" s="141"/>
      <c r="U137" s="98"/>
    </row>
    <row r="138" spans="2:21" x14ac:dyDescent="0.2">
      <c r="B138" s="88"/>
      <c r="C138" s="89"/>
      <c r="D138" s="89"/>
      <c r="E138" s="89"/>
      <c r="F138" s="89"/>
      <c r="G138" s="89"/>
      <c r="H138" s="89"/>
      <c r="I138" s="89"/>
      <c r="J138" s="90"/>
      <c r="K138" s="90" t="s">
        <v>106997</v>
      </c>
      <c r="L138" s="91"/>
      <c r="M138" s="92"/>
      <c r="N138" s="93"/>
      <c r="O138" s="93"/>
      <c r="P138" s="94"/>
      <c r="Q138" s="94"/>
      <c r="R138" s="95"/>
      <c r="S138" s="96"/>
      <c r="T138" s="141"/>
      <c r="U138" s="98"/>
    </row>
    <row r="139" spans="2:21" x14ac:dyDescent="0.2">
      <c r="B139" s="88"/>
      <c r="C139" s="89"/>
      <c r="D139" s="89"/>
      <c r="E139" s="89"/>
      <c r="F139" s="89"/>
      <c r="G139" s="89"/>
      <c r="H139" s="89"/>
      <c r="I139" s="89"/>
      <c r="J139" s="90"/>
      <c r="K139" s="90" t="s">
        <v>106997</v>
      </c>
      <c r="L139" s="91"/>
      <c r="M139" s="100"/>
      <c r="N139" s="93"/>
      <c r="O139" s="93"/>
      <c r="P139" s="94"/>
      <c r="Q139" s="94"/>
      <c r="R139" s="118"/>
      <c r="S139" s="103"/>
      <c r="T139" s="141"/>
      <c r="U139" s="98"/>
    </row>
    <row r="140" spans="2:21" x14ac:dyDescent="0.2">
      <c r="B140" s="88"/>
      <c r="C140" s="89"/>
      <c r="D140" s="89"/>
      <c r="E140" s="89"/>
      <c r="F140" s="89"/>
      <c r="G140" s="89"/>
      <c r="H140" s="89"/>
      <c r="I140" s="89"/>
      <c r="J140" s="90"/>
      <c r="K140" s="90" t="s">
        <v>106997</v>
      </c>
      <c r="L140" s="55"/>
      <c r="M140" s="102"/>
      <c r="N140" s="93"/>
      <c r="O140" s="93"/>
      <c r="P140" s="94"/>
      <c r="Q140" s="94"/>
      <c r="R140" s="95"/>
      <c r="S140" s="96"/>
      <c r="T140" s="97"/>
      <c r="U140" s="98"/>
    </row>
    <row r="141" spans="2:21" x14ac:dyDescent="0.2">
      <c r="B141" s="88"/>
      <c r="C141" s="89"/>
      <c r="D141" s="89"/>
      <c r="E141" s="89"/>
      <c r="F141" s="89"/>
      <c r="G141" s="89"/>
      <c r="H141" s="89"/>
      <c r="I141" s="89"/>
      <c r="J141" s="90"/>
      <c r="K141" s="90" t="s">
        <v>106997</v>
      </c>
      <c r="L141" s="55"/>
      <c r="M141" s="92"/>
      <c r="N141" s="93"/>
      <c r="O141" s="93"/>
      <c r="P141" s="94"/>
      <c r="Q141" s="94"/>
      <c r="R141" s="95"/>
      <c r="S141" s="96"/>
      <c r="T141" s="97"/>
      <c r="U141" s="98"/>
    </row>
    <row r="142" spans="2:21" x14ac:dyDescent="0.2">
      <c r="B142" s="88"/>
      <c r="C142" s="89"/>
      <c r="D142" s="89"/>
      <c r="E142" s="89"/>
      <c r="F142" s="89"/>
      <c r="G142" s="89"/>
      <c r="H142" s="89"/>
      <c r="I142" s="89"/>
      <c r="J142" s="90"/>
      <c r="K142" s="90" t="s">
        <v>106997</v>
      </c>
      <c r="L142" s="128"/>
      <c r="M142" s="102"/>
      <c r="N142" s="93"/>
      <c r="O142" s="93"/>
      <c r="P142" s="94"/>
      <c r="Q142" s="94"/>
      <c r="R142" s="95"/>
      <c r="S142" s="96"/>
      <c r="T142" s="97"/>
      <c r="U142" s="98"/>
    </row>
    <row r="143" spans="2:21" x14ac:dyDescent="0.2">
      <c r="B143" s="88"/>
      <c r="C143" s="89"/>
      <c r="D143" s="89"/>
      <c r="E143" s="89"/>
      <c r="F143" s="89"/>
      <c r="G143" s="89"/>
      <c r="H143" s="89"/>
      <c r="I143" s="89"/>
      <c r="J143" s="90"/>
      <c r="K143" s="90" t="s">
        <v>106997</v>
      </c>
      <c r="L143" s="142"/>
      <c r="M143" s="102"/>
      <c r="N143" s="93"/>
      <c r="O143" s="93"/>
      <c r="P143" s="94"/>
      <c r="Q143" s="94"/>
      <c r="R143" s="95"/>
      <c r="S143" s="96"/>
      <c r="T143" s="97"/>
      <c r="U143" s="98"/>
    </row>
    <row r="144" spans="2:21" x14ac:dyDescent="0.2">
      <c r="B144" s="88"/>
      <c r="C144" s="89"/>
      <c r="D144" s="89"/>
      <c r="E144" s="89"/>
      <c r="F144" s="89"/>
      <c r="G144" s="89"/>
      <c r="H144" s="89"/>
      <c r="I144" s="89"/>
      <c r="J144" s="90"/>
      <c r="K144" s="90" t="s">
        <v>106997</v>
      </c>
      <c r="L144" s="128"/>
      <c r="M144" s="102"/>
      <c r="N144" s="93"/>
      <c r="O144" s="93"/>
      <c r="P144" s="94"/>
      <c r="Q144" s="94"/>
      <c r="R144" s="95"/>
      <c r="S144" s="96"/>
      <c r="T144" s="97"/>
      <c r="U144" s="98"/>
    </row>
    <row r="145" spans="2:21" x14ac:dyDescent="0.2">
      <c r="B145" s="88"/>
      <c r="C145" s="89"/>
      <c r="D145" s="89"/>
      <c r="E145" s="89"/>
      <c r="F145" s="89"/>
      <c r="G145" s="89"/>
      <c r="H145" s="89"/>
      <c r="I145" s="89"/>
      <c r="J145" s="90"/>
      <c r="K145" s="90" t="s">
        <v>106997</v>
      </c>
      <c r="L145" s="55"/>
      <c r="M145" s="92"/>
      <c r="N145" s="93"/>
      <c r="O145" s="93"/>
      <c r="P145" s="94"/>
      <c r="Q145" s="94"/>
      <c r="R145" s="95"/>
      <c r="S145" s="96"/>
      <c r="T145" s="97"/>
      <c r="U145" s="98"/>
    </row>
    <row r="146" spans="2:21" ht="30" x14ac:dyDescent="0.2">
      <c r="B146" s="72" t="s">
        <v>105516</v>
      </c>
      <c r="C146" s="72" t="s">
        <v>105573</v>
      </c>
      <c r="D146" s="72" t="s">
        <v>105573</v>
      </c>
      <c r="E146" s="72" t="s">
        <v>105573</v>
      </c>
      <c r="F146" s="72" t="s">
        <v>105553</v>
      </c>
      <c r="G146" s="72" t="s">
        <v>105541</v>
      </c>
      <c r="H146" s="72"/>
      <c r="I146" s="72"/>
      <c r="J146" s="72"/>
      <c r="K146" s="73"/>
      <c r="L146" s="73"/>
      <c r="M146" s="74" t="s">
        <v>107040</v>
      </c>
      <c r="N146" s="75"/>
      <c r="O146" s="75"/>
      <c r="P146" s="76"/>
      <c r="Q146" s="76"/>
      <c r="R146" s="77">
        <v>85687647</v>
      </c>
      <c r="S146" s="78"/>
      <c r="T146" s="78"/>
      <c r="U146" s="79"/>
    </row>
    <row r="147" spans="2:21" x14ac:dyDescent="0.2">
      <c r="B147" s="80" t="s">
        <v>105516</v>
      </c>
      <c r="C147" s="80" t="s">
        <v>105573</v>
      </c>
      <c r="D147" s="80" t="s">
        <v>105573</v>
      </c>
      <c r="E147" s="80" t="s">
        <v>105573</v>
      </c>
      <c r="F147" s="80" t="s">
        <v>105553</v>
      </c>
      <c r="G147" s="80" t="s">
        <v>105541</v>
      </c>
      <c r="H147" s="80" t="s">
        <v>105520</v>
      </c>
      <c r="I147" s="80"/>
      <c r="J147" s="80"/>
      <c r="K147" s="80"/>
      <c r="L147" s="80"/>
      <c r="M147" s="82" t="s">
        <v>107042</v>
      </c>
      <c r="N147" s="83"/>
      <c r="O147" s="83"/>
      <c r="P147" s="84"/>
      <c r="Q147" s="84"/>
      <c r="R147" s="85">
        <v>72000000</v>
      </c>
      <c r="S147" s="86"/>
      <c r="T147" s="86"/>
      <c r="U147" s="101"/>
    </row>
    <row r="148" spans="2:21" x14ac:dyDescent="0.2">
      <c r="B148" s="88"/>
      <c r="C148" s="89"/>
      <c r="D148" s="89"/>
      <c r="E148" s="89"/>
      <c r="F148" s="89"/>
      <c r="G148" s="89"/>
      <c r="H148" s="89"/>
      <c r="I148" s="89"/>
      <c r="J148" s="90"/>
      <c r="K148" s="90" t="s">
        <v>107039</v>
      </c>
      <c r="L148" s="55"/>
      <c r="M148" s="92"/>
      <c r="N148" s="93"/>
      <c r="O148" s="93"/>
      <c r="P148" s="132"/>
      <c r="Q148" s="94"/>
      <c r="R148" s="95"/>
      <c r="S148" s="96"/>
      <c r="T148" s="129"/>
      <c r="U148" s="98"/>
    </row>
    <row r="149" spans="2:21" x14ac:dyDescent="0.2">
      <c r="B149" s="88"/>
      <c r="C149" s="89"/>
      <c r="D149" s="89"/>
      <c r="E149" s="89"/>
      <c r="F149" s="89"/>
      <c r="G149" s="89"/>
      <c r="H149" s="89"/>
      <c r="I149" s="89"/>
      <c r="J149" s="90"/>
      <c r="K149" s="90" t="s">
        <v>107039</v>
      </c>
      <c r="L149" s="55"/>
      <c r="M149" s="102"/>
      <c r="N149" s="93"/>
      <c r="O149" s="93"/>
      <c r="P149" s="132"/>
      <c r="Q149" s="94"/>
      <c r="R149" s="95"/>
      <c r="S149" s="96"/>
      <c r="T149" s="97"/>
      <c r="U149" s="98"/>
    </row>
    <row r="150" spans="2:21" x14ac:dyDescent="0.2">
      <c r="B150" s="88"/>
      <c r="C150" s="89"/>
      <c r="D150" s="89"/>
      <c r="E150" s="89"/>
      <c r="F150" s="89"/>
      <c r="G150" s="89"/>
      <c r="H150" s="89"/>
      <c r="I150" s="89"/>
      <c r="J150" s="90"/>
      <c r="K150" s="90" t="s">
        <v>107039</v>
      </c>
      <c r="L150" s="55"/>
      <c r="M150" s="102"/>
      <c r="N150" s="93"/>
      <c r="O150" s="93"/>
      <c r="P150" s="94"/>
      <c r="Q150" s="94"/>
      <c r="R150" s="95"/>
      <c r="S150" s="96"/>
      <c r="T150" s="129"/>
      <c r="U150" s="98"/>
    </row>
    <row r="151" spans="2:21" x14ac:dyDescent="0.2">
      <c r="B151" s="80" t="s">
        <v>105516</v>
      </c>
      <c r="C151" s="80" t="s">
        <v>105573</v>
      </c>
      <c r="D151" s="80" t="s">
        <v>105573</v>
      </c>
      <c r="E151" s="80" t="s">
        <v>105573</v>
      </c>
      <c r="F151" s="80" t="s">
        <v>105553</v>
      </c>
      <c r="G151" s="80" t="s">
        <v>105541</v>
      </c>
      <c r="H151" s="80" t="s">
        <v>105573</v>
      </c>
      <c r="I151" s="80"/>
      <c r="J151" s="80"/>
      <c r="K151" s="80"/>
      <c r="L151" s="80"/>
      <c r="M151" s="82" t="s">
        <v>107044</v>
      </c>
      <c r="N151" s="83"/>
      <c r="O151" s="83"/>
      <c r="P151" s="84"/>
      <c r="Q151" s="84"/>
      <c r="R151" s="85">
        <v>13687647</v>
      </c>
      <c r="S151" s="86"/>
      <c r="T151" s="86"/>
      <c r="U151" s="101"/>
    </row>
    <row r="152" spans="2:21" x14ac:dyDescent="0.2">
      <c r="B152" s="90"/>
      <c r="C152" s="90"/>
      <c r="D152" s="90"/>
      <c r="E152" s="90"/>
      <c r="F152" s="90"/>
      <c r="G152" s="90"/>
      <c r="H152" s="90"/>
      <c r="I152" s="90"/>
      <c r="J152" s="90"/>
      <c r="K152" s="90" t="s">
        <v>107039</v>
      </c>
      <c r="L152" s="55"/>
      <c r="M152" s="92"/>
      <c r="N152" s="93"/>
      <c r="O152" s="93"/>
      <c r="P152" s="94"/>
      <c r="Q152" s="94"/>
      <c r="R152" s="95"/>
      <c r="S152" s="96"/>
      <c r="T152" s="129"/>
      <c r="U152" s="98"/>
    </row>
    <row r="153" spans="2:21" ht="30" x14ac:dyDescent="0.2">
      <c r="B153" s="90"/>
      <c r="C153" s="90"/>
      <c r="D153" s="90"/>
      <c r="E153" s="90"/>
      <c r="F153" s="90"/>
      <c r="G153" s="90"/>
      <c r="H153" s="90"/>
      <c r="I153" s="90"/>
      <c r="J153" s="90"/>
      <c r="K153" s="90" t="s">
        <v>107039</v>
      </c>
      <c r="L153" s="55">
        <v>81112100</v>
      </c>
      <c r="M153" s="102" t="s">
        <v>113101</v>
      </c>
      <c r="N153" s="93">
        <v>45056</v>
      </c>
      <c r="O153" s="93" t="s">
        <v>112997</v>
      </c>
      <c r="P153" s="132" t="s">
        <v>113068</v>
      </c>
      <c r="Q153" s="94" t="s">
        <v>113041</v>
      </c>
      <c r="R153" s="95">
        <v>3120000</v>
      </c>
      <c r="S153" s="96"/>
      <c r="T153" s="95"/>
      <c r="U153" s="98" t="s">
        <v>113003</v>
      </c>
    </row>
    <row r="154" spans="2:21" x14ac:dyDescent="0.2">
      <c r="B154" s="72" t="s">
        <v>105516</v>
      </c>
      <c r="C154" s="72" t="s">
        <v>105573</v>
      </c>
      <c r="D154" s="72" t="s">
        <v>105573</v>
      </c>
      <c r="E154" s="72" t="s">
        <v>105573</v>
      </c>
      <c r="F154" s="72" t="s">
        <v>105553</v>
      </c>
      <c r="G154" s="143" t="s">
        <v>105544</v>
      </c>
      <c r="H154" s="72"/>
      <c r="I154" s="72"/>
      <c r="J154" s="72"/>
      <c r="K154" s="73"/>
      <c r="L154" s="73"/>
      <c r="M154" s="74" t="s">
        <v>107054</v>
      </c>
      <c r="N154" s="75"/>
      <c r="O154" s="75"/>
      <c r="P154" s="76"/>
      <c r="Q154" s="76"/>
      <c r="R154" s="77">
        <v>24000000</v>
      </c>
      <c r="S154" s="78"/>
      <c r="T154" s="78"/>
      <c r="U154" s="79"/>
    </row>
    <row r="155" spans="2:21" x14ac:dyDescent="0.2">
      <c r="B155" s="80" t="s">
        <v>105516</v>
      </c>
      <c r="C155" s="80" t="s">
        <v>105573</v>
      </c>
      <c r="D155" s="80" t="s">
        <v>105573</v>
      </c>
      <c r="E155" s="80" t="s">
        <v>105573</v>
      </c>
      <c r="F155" s="80" t="s">
        <v>105553</v>
      </c>
      <c r="G155" s="81" t="s">
        <v>105544</v>
      </c>
      <c r="H155" s="81" t="s">
        <v>106109</v>
      </c>
      <c r="I155" s="80"/>
      <c r="J155" s="80"/>
      <c r="K155" s="80"/>
      <c r="L155" s="80"/>
      <c r="M155" s="82" t="s">
        <v>107066</v>
      </c>
      <c r="N155" s="83"/>
      <c r="O155" s="83"/>
      <c r="P155" s="84"/>
      <c r="Q155" s="84"/>
      <c r="R155" s="85">
        <v>24000000</v>
      </c>
      <c r="S155" s="86"/>
      <c r="T155" s="86"/>
      <c r="U155" s="101"/>
    </row>
    <row r="156" spans="2:21" x14ac:dyDescent="0.2">
      <c r="B156" s="80" t="s">
        <v>105516</v>
      </c>
      <c r="C156" s="80" t="s">
        <v>105573</v>
      </c>
      <c r="D156" s="80" t="s">
        <v>105573</v>
      </c>
      <c r="E156" s="80" t="s">
        <v>105573</v>
      </c>
      <c r="F156" s="80" t="s">
        <v>105553</v>
      </c>
      <c r="G156" s="81" t="s">
        <v>105544</v>
      </c>
      <c r="H156" s="81" t="s">
        <v>106109</v>
      </c>
      <c r="I156" s="80">
        <v>3</v>
      </c>
      <c r="J156" s="80"/>
      <c r="K156" s="80"/>
      <c r="L156" s="80"/>
      <c r="M156" s="82" t="s">
        <v>113102</v>
      </c>
      <c r="N156" s="83"/>
      <c r="O156" s="83"/>
      <c r="P156" s="84"/>
      <c r="Q156" s="84"/>
      <c r="R156" s="85">
        <v>24000000</v>
      </c>
      <c r="S156" s="86"/>
      <c r="T156" s="86"/>
      <c r="U156" s="101"/>
    </row>
    <row r="157" spans="2:21" x14ac:dyDescent="0.2">
      <c r="B157" s="88"/>
      <c r="C157" s="89"/>
      <c r="D157" s="89"/>
      <c r="E157" s="89"/>
      <c r="F157" s="89"/>
      <c r="G157" s="89"/>
      <c r="H157" s="89"/>
      <c r="I157" s="89"/>
      <c r="J157" s="90"/>
      <c r="K157" s="90" t="s">
        <v>107053</v>
      </c>
      <c r="L157" s="91"/>
      <c r="M157" s="102"/>
      <c r="N157" s="93"/>
      <c r="O157" s="93"/>
      <c r="P157" s="94"/>
      <c r="Q157" s="94"/>
      <c r="R157" s="95"/>
      <c r="S157" s="96"/>
      <c r="T157" s="129"/>
      <c r="U157" s="98"/>
    </row>
    <row r="158" spans="2:21" ht="30" x14ac:dyDescent="0.2">
      <c r="B158" s="72" t="s">
        <v>105516</v>
      </c>
      <c r="C158" s="72" t="s">
        <v>105573</v>
      </c>
      <c r="D158" s="72" t="s">
        <v>105573</v>
      </c>
      <c r="E158" s="72" t="s">
        <v>105573</v>
      </c>
      <c r="F158" s="72" t="s">
        <v>105553</v>
      </c>
      <c r="G158" s="72" t="s">
        <v>105550</v>
      </c>
      <c r="H158" s="72"/>
      <c r="I158" s="72"/>
      <c r="J158" s="72"/>
      <c r="K158" s="73"/>
      <c r="L158" s="73"/>
      <c r="M158" s="74" t="s">
        <v>107092</v>
      </c>
      <c r="N158" s="75"/>
      <c r="O158" s="75"/>
      <c r="P158" s="76"/>
      <c r="Q158" s="76"/>
      <c r="R158" s="77">
        <v>202750000</v>
      </c>
      <c r="S158" s="78"/>
      <c r="T158" s="78"/>
      <c r="U158" s="79"/>
    </row>
    <row r="159" spans="2:21" ht="30" x14ac:dyDescent="0.2">
      <c r="B159" s="80" t="s">
        <v>105516</v>
      </c>
      <c r="C159" s="80" t="s">
        <v>105573</v>
      </c>
      <c r="D159" s="80" t="s">
        <v>105573</v>
      </c>
      <c r="E159" s="80" t="s">
        <v>105573</v>
      </c>
      <c r="F159" s="80" t="s">
        <v>105553</v>
      </c>
      <c r="G159" s="80" t="s">
        <v>105550</v>
      </c>
      <c r="H159" s="80" t="s">
        <v>105520</v>
      </c>
      <c r="I159" s="80"/>
      <c r="J159" s="80"/>
      <c r="K159" s="80"/>
      <c r="L159" s="80"/>
      <c r="M159" s="82" t="s">
        <v>107094</v>
      </c>
      <c r="N159" s="83"/>
      <c r="O159" s="83"/>
      <c r="P159" s="84"/>
      <c r="Q159" s="84"/>
      <c r="R159" s="85">
        <v>202750000</v>
      </c>
      <c r="S159" s="86"/>
      <c r="T159" s="86"/>
      <c r="U159" s="101"/>
    </row>
    <row r="160" spans="2:21" ht="30" x14ac:dyDescent="0.2">
      <c r="B160" s="80" t="s">
        <v>105516</v>
      </c>
      <c r="C160" s="80" t="s">
        <v>105573</v>
      </c>
      <c r="D160" s="80" t="s">
        <v>105573</v>
      </c>
      <c r="E160" s="80" t="s">
        <v>105573</v>
      </c>
      <c r="F160" s="80" t="s">
        <v>105553</v>
      </c>
      <c r="G160" s="80" t="s">
        <v>105550</v>
      </c>
      <c r="H160" s="80" t="s">
        <v>105520</v>
      </c>
      <c r="I160" s="80" t="s">
        <v>106211</v>
      </c>
      <c r="J160" s="80"/>
      <c r="K160" s="80"/>
      <c r="L160" s="80"/>
      <c r="M160" s="82" t="s">
        <v>107100</v>
      </c>
      <c r="N160" s="83"/>
      <c r="O160" s="83"/>
      <c r="P160" s="84"/>
      <c r="Q160" s="84"/>
      <c r="R160" s="85">
        <v>70000000</v>
      </c>
      <c r="S160" s="86"/>
      <c r="T160" s="86"/>
      <c r="U160" s="101"/>
    </row>
    <row r="161" spans="2:21" x14ac:dyDescent="0.2">
      <c r="B161" s="88"/>
      <c r="C161" s="89"/>
      <c r="D161" s="89"/>
      <c r="E161" s="89"/>
      <c r="F161" s="89"/>
      <c r="G161" s="89"/>
      <c r="H161" s="89"/>
      <c r="I161" s="89"/>
      <c r="J161" s="90"/>
      <c r="K161" s="90" t="s">
        <v>107091</v>
      </c>
      <c r="L161" s="91"/>
      <c r="M161" s="92"/>
      <c r="N161" s="93"/>
      <c r="O161" s="93"/>
      <c r="P161" s="94"/>
      <c r="Q161" s="94"/>
      <c r="R161" s="95"/>
      <c r="S161" s="96"/>
      <c r="T161" s="97"/>
      <c r="U161" s="98"/>
    </row>
    <row r="162" spans="2:21" ht="30" x14ac:dyDescent="0.2">
      <c r="B162" s="80" t="s">
        <v>105516</v>
      </c>
      <c r="C162" s="80" t="s">
        <v>105573</v>
      </c>
      <c r="D162" s="80" t="s">
        <v>105573</v>
      </c>
      <c r="E162" s="80" t="s">
        <v>105573</v>
      </c>
      <c r="F162" s="80" t="s">
        <v>105553</v>
      </c>
      <c r="G162" s="80" t="s">
        <v>105550</v>
      </c>
      <c r="H162" s="80" t="s">
        <v>105520</v>
      </c>
      <c r="I162" s="80" t="s">
        <v>106214</v>
      </c>
      <c r="J162" s="80"/>
      <c r="K162" s="80"/>
      <c r="L162" s="80"/>
      <c r="M162" s="82" t="s">
        <v>107102</v>
      </c>
      <c r="N162" s="83"/>
      <c r="O162" s="83"/>
      <c r="P162" s="84"/>
      <c r="Q162" s="84"/>
      <c r="R162" s="85">
        <v>30000000</v>
      </c>
      <c r="S162" s="86"/>
      <c r="T162" s="86"/>
      <c r="U162" s="101"/>
    </row>
    <row r="163" spans="2:21" x14ac:dyDescent="0.2">
      <c r="B163" s="88"/>
      <c r="C163" s="89"/>
      <c r="D163" s="89"/>
      <c r="E163" s="89"/>
      <c r="F163" s="89"/>
      <c r="G163" s="89"/>
      <c r="H163" s="89"/>
      <c r="I163" s="89"/>
      <c r="J163" s="90"/>
      <c r="K163" s="90" t="s">
        <v>107091</v>
      </c>
      <c r="L163" s="91"/>
      <c r="M163" s="92"/>
      <c r="N163" s="93"/>
      <c r="O163" s="93"/>
      <c r="P163" s="94"/>
      <c r="Q163" s="94"/>
      <c r="R163" s="95"/>
      <c r="S163" s="96"/>
      <c r="T163" s="97"/>
      <c r="U163" s="98"/>
    </row>
    <row r="164" spans="2:21" ht="75" x14ac:dyDescent="0.2">
      <c r="B164" s="88"/>
      <c r="C164" s="89"/>
      <c r="D164" s="89"/>
      <c r="E164" s="89"/>
      <c r="F164" s="89"/>
      <c r="G164" s="89"/>
      <c r="H164" s="89"/>
      <c r="I164" s="89"/>
      <c r="J164" s="90"/>
      <c r="K164" s="90" t="s">
        <v>107091</v>
      </c>
      <c r="L164" s="91" t="s">
        <v>113107</v>
      </c>
      <c r="M164" s="92" t="s">
        <v>113108</v>
      </c>
      <c r="N164" s="93">
        <v>45031</v>
      </c>
      <c r="O164" s="93" t="s">
        <v>113087</v>
      </c>
      <c r="P164" s="132" t="s">
        <v>113068</v>
      </c>
      <c r="Q164" s="93" t="s">
        <v>113069</v>
      </c>
      <c r="R164" s="95">
        <v>31080000</v>
      </c>
      <c r="S164" s="96"/>
      <c r="T164" s="141"/>
      <c r="U164" s="98" t="s">
        <v>113000</v>
      </c>
    </row>
    <row r="165" spans="2:21" ht="30" x14ac:dyDescent="0.2">
      <c r="B165" s="80" t="s">
        <v>105516</v>
      </c>
      <c r="C165" s="80" t="s">
        <v>105573</v>
      </c>
      <c r="D165" s="80" t="s">
        <v>105573</v>
      </c>
      <c r="E165" s="80" t="s">
        <v>105573</v>
      </c>
      <c r="F165" s="80" t="s">
        <v>105553</v>
      </c>
      <c r="G165" s="80" t="s">
        <v>105550</v>
      </c>
      <c r="H165" s="80" t="s">
        <v>105520</v>
      </c>
      <c r="I165" s="80" t="s">
        <v>106217</v>
      </c>
      <c r="J165" s="80"/>
      <c r="K165" s="80"/>
      <c r="L165" s="80"/>
      <c r="M165" s="82" t="s">
        <v>107104</v>
      </c>
      <c r="N165" s="83"/>
      <c r="O165" s="83"/>
      <c r="P165" s="84"/>
      <c r="Q165" s="84"/>
      <c r="R165" s="85">
        <v>102750000</v>
      </c>
      <c r="S165" s="86"/>
      <c r="T165" s="86"/>
      <c r="U165" s="101"/>
    </row>
    <row r="166" spans="2:21" x14ac:dyDescent="0.2">
      <c r="B166" s="88"/>
      <c r="C166" s="89"/>
      <c r="D166" s="89"/>
      <c r="E166" s="89"/>
      <c r="F166" s="89"/>
      <c r="G166" s="89"/>
      <c r="H166" s="89"/>
      <c r="I166" s="89"/>
      <c r="J166" s="90"/>
      <c r="K166" s="90" t="s">
        <v>107091</v>
      </c>
      <c r="L166" s="91"/>
      <c r="M166" s="92"/>
      <c r="N166" s="93"/>
      <c r="O166" s="93"/>
      <c r="P166" s="94"/>
      <c r="Q166" s="93"/>
      <c r="R166" s="95"/>
      <c r="S166" s="96"/>
      <c r="T166" s="97"/>
      <c r="U166" s="98"/>
    </row>
    <row r="167" spans="2:21" x14ac:dyDescent="0.2">
      <c r="B167" s="138"/>
      <c r="C167" s="139"/>
      <c r="D167" s="139"/>
      <c r="E167" s="139"/>
      <c r="F167" s="139"/>
      <c r="G167" s="139"/>
      <c r="H167" s="139"/>
      <c r="I167" s="139"/>
      <c r="J167" s="140"/>
      <c r="K167" s="90" t="s">
        <v>107091</v>
      </c>
      <c r="L167" s="91"/>
      <c r="M167" s="92"/>
      <c r="N167" s="93"/>
      <c r="O167" s="93"/>
      <c r="P167" s="132"/>
      <c r="Q167" s="93"/>
      <c r="R167" s="95"/>
      <c r="S167" s="96"/>
      <c r="T167" s="144"/>
      <c r="U167" s="98"/>
    </row>
    <row r="168" spans="2:21" ht="75" x14ac:dyDescent="0.2">
      <c r="B168" s="138"/>
      <c r="C168" s="139"/>
      <c r="D168" s="139"/>
      <c r="E168" s="139"/>
      <c r="F168" s="139"/>
      <c r="G168" s="139"/>
      <c r="H168" s="139"/>
      <c r="I168" s="139"/>
      <c r="J168" s="140"/>
      <c r="K168" s="140" t="s">
        <v>107091</v>
      </c>
      <c r="L168" s="91">
        <v>72154100</v>
      </c>
      <c r="M168" s="92" t="s">
        <v>113110</v>
      </c>
      <c r="N168" s="93">
        <v>45031</v>
      </c>
      <c r="O168" s="93" t="s">
        <v>113087</v>
      </c>
      <c r="P168" s="132" t="s">
        <v>113068</v>
      </c>
      <c r="Q168" s="93" t="s">
        <v>113069</v>
      </c>
      <c r="R168" s="95">
        <v>20640000</v>
      </c>
      <c r="S168" s="96"/>
      <c r="T168" s="141"/>
      <c r="U168" s="98" t="s">
        <v>113000</v>
      </c>
    </row>
    <row r="169" spans="2:21" x14ac:dyDescent="0.2">
      <c r="B169" s="138"/>
      <c r="C169" s="139"/>
      <c r="D169" s="139"/>
      <c r="E169" s="139"/>
      <c r="F169" s="139"/>
      <c r="G169" s="139"/>
      <c r="H169" s="139"/>
      <c r="I169" s="139"/>
      <c r="J169" s="140"/>
      <c r="K169" s="140" t="s">
        <v>107091</v>
      </c>
      <c r="L169" s="91"/>
      <c r="M169" s="92"/>
      <c r="N169" s="93"/>
      <c r="O169" s="93"/>
      <c r="P169" s="94"/>
      <c r="Q169" s="94"/>
      <c r="R169" s="95"/>
      <c r="S169" s="96"/>
      <c r="T169" s="97"/>
      <c r="U169" s="98"/>
    </row>
    <row r="170" spans="2:21" x14ac:dyDescent="0.2">
      <c r="B170" s="138"/>
      <c r="C170" s="139"/>
      <c r="D170" s="139"/>
      <c r="E170" s="139"/>
      <c r="F170" s="139"/>
      <c r="G170" s="139"/>
      <c r="H170" s="139"/>
      <c r="I170" s="139"/>
      <c r="J170" s="140"/>
      <c r="K170" s="140" t="s">
        <v>107091</v>
      </c>
      <c r="L170" s="119"/>
      <c r="M170" s="131"/>
      <c r="N170" s="121"/>
      <c r="O170" s="93"/>
      <c r="P170" s="94"/>
      <c r="Q170" s="132"/>
      <c r="R170" s="95"/>
      <c r="S170" s="96"/>
      <c r="T170" s="97"/>
      <c r="U170" s="98"/>
    </row>
    <row r="171" spans="2:21" x14ac:dyDescent="0.2">
      <c r="B171" s="138"/>
      <c r="C171" s="139"/>
      <c r="D171" s="139"/>
      <c r="E171" s="139"/>
      <c r="F171" s="139"/>
      <c r="G171" s="139"/>
      <c r="H171" s="139"/>
      <c r="I171" s="139"/>
      <c r="J171" s="140"/>
      <c r="K171" s="140" t="s">
        <v>107091</v>
      </c>
      <c r="L171" s="127"/>
      <c r="M171" s="120"/>
      <c r="N171" s="121"/>
      <c r="O171" s="121"/>
      <c r="P171" s="121"/>
      <c r="Q171" s="121"/>
      <c r="R171" s="95"/>
      <c r="S171" s="96"/>
      <c r="T171" s="97"/>
      <c r="U171" s="98"/>
    </row>
    <row r="172" spans="2:21" x14ac:dyDescent="0.2">
      <c r="B172" s="138"/>
      <c r="C172" s="139"/>
      <c r="D172" s="139"/>
      <c r="E172" s="139"/>
      <c r="F172" s="139"/>
      <c r="G172" s="139"/>
      <c r="H172" s="139"/>
      <c r="I172" s="139"/>
      <c r="J172" s="140"/>
      <c r="K172" s="140" t="s">
        <v>107091</v>
      </c>
      <c r="L172" s="55"/>
      <c r="M172" s="92"/>
      <c r="N172" s="93"/>
      <c r="O172" s="93"/>
      <c r="P172" s="94"/>
      <c r="Q172" s="94"/>
      <c r="R172" s="95"/>
      <c r="S172" s="96"/>
      <c r="T172" s="97"/>
      <c r="U172" s="98"/>
    </row>
    <row r="173" spans="2:21" x14ac:dyDescent="0.2">
      <c r="B173" s="63" t="s">
        <v>105516</v>
      </c>
      <c r="C173" s="63" t="s">
        <v>105573</v>
      </c>
      <c r="D173" s="63" t="s">
        <v>105573</v>
      </c>
      <c r="E173" s="63" t="s">
        <v>105573</v>
      </c>
      <c r="F173" s="63" t="s">
        <v>105556</v>
      </c>
      <c r="G173" s="63"/>
      <c r="H173" s="63"/>
      <c r="I173" s="63"/>
      <c r="J173" s="63"/>
      <c r="K173" s="64"/>
      <c r="L173" s="65"/>
      <c r="M173" s="66" t="s">
        <v>107164</v>
      </c>
      <c r="N173" s="67"/>
      <c r="O173" s="67"/>
      <c r="P173" s="68"/>
      <c r="Q173" s="68"/>
      <c r="R173" s="69">
        <v>395090112</v>
      </c>
      <c r="S173" s="70"/>
      <c r="T173" s="70"/>
      <c r="U173" s="71"/>
    </row>
    <row r="174" spans="2:21" x14ac:dyDescent="0.2">
      <c r="B174" s="72" t="s">
        <v>105516</v>
      </c>
      <c r="C174" s="72" t="s">
        <v>105573</v>
      </c>
      <c r="D174" s="72" t="s">
        <v>105573</v>
      </c>
      <c r="E174" s="72" t="s">
        <v>105573</v>
      </c>
      <c r="F174" s="72" t="s">
        <v>105556</v>
      </c>
      <c r="G174" s="72" t="s">
        <v>105535</v>
      </c>
      <c r="H174" s="72"/>
      <c r="I174" s="72"/>
      <c r="J174" s="72"/>
      <c r="K174" s="73"/>
      <c r="L174" s="73"/>
      <c r="M174" s="74" t="s">
        <v>107166</v>
      </c>
      <c r="N174" s="75"/>
      <c r="O174" s="75"/>
      <c r="P174" s="76"/>
      <c r="Q174" s="76"/>
      <c r="R174" s="77">
        <v>62280000</v>
      </c>
      <c r="S174" s="78"/>
      <c r="T174" s="78"/>
      <c r="U174" s="79"/>
    </row>
    <row r="175" spans="2:21" x14ac:dyDescent="0.2">
      <c r="B175" s="80" t="s">
        <v>105516</v>
      </c>
      <c r="C175" s="80" t="s">
        <v>105573</v>
      </c>
      <c r="D175" s="80" t="s">
        <v>105573</v>
      </c>
      <c r="E175" s="80" t="s">
        <v>105573</v>
      </c>
      <c r="F175" s="80" t="s">
        <v>105556</v>
      </c>
      <c r="G175" s="80" t="s">
        <v>105535</v>
      </c>
      <c r="H175" s="80" t="s">
        <v>106109</v>
      </c>
      <c r="I175" s="80"/>
      <c r="J175" s="80"/>
      <c r="K175" s="80"/>
      <c r="L175" s="80"/>
      <c r="M175" s="82" t="s">
        <v>107178</v>
      </c>
      <c r="N175" s="83"/>
      <c r="O175" s="83"/>
      <c r="P175" s="84"/>
      <c r="Q175" s="84"/>
      <c r="R175" s="85">
        <v>62280000</v>
      </c>
      <c r="S175" s="86"/>
      <c r="T175" s="86"/>
      <c r="U175" s="101"/>
    </row>
    <row r="176" spans="2:21" x14ac:dyDescent="0.2">
      <c r="B176" s="88"/>
      <c r="C176" s="89"/>
      <c r="D176" s="89"/>
      <c r="E176" s="89"/>
      <c r="F176" s="89"/>
      <c r="G176" s="89"/>
      <c r="H176" s="89"/>
      <c r="I176" s="89"/>
      <c r="J176" s="90"/>
      <c r="K176" s="90" t="s">
        <v>107165</v>
      </c>
      <c r="L176" s="91"/>
      <c r="M176" s="92"/>
      <c r="N176" s="93"/>
      <c r="O176" s="93"/>
      <c r="P176" s="94"/>
      <c r="Q176" s="94"/>
      <c r="R176" s="95"/>
      <c r="S176" s="96"/>
      <c r="T176" s="97"/>
      <c r="U176" s="98"/>
    </row>
    <row r="177" spans="2:21" x14ac:dyDescent="0.2">
      <c r="B177" s="88"/>
      <c r="C177" s="89"/>
      <c r="D177" s="89"/>
      <c r="E177" s="89"/>
      <c r="F177" s="89"/>
      <c r="G177" s="89"/>
      <c r="H177" s="89"/>
      <c r="I177" s="89"/>
      <c r="J177" s="90"/>
      <c r="K177" s="90" t="s">
        <v>107165</v>
      </c>
      <c r="L177" s="55"/>
      <c r="M177" s="92"/>
      <c r="N177" s="93"/>
      <c r="O177" s="94"/>
      <c r="P177" s="94"/>
      <c r="Q177" s="94"/>
      <c r="R177" s="95"/>
      <c r="S177" s="96"/>
      <c r="T177" s="97"/>
      <c r="U177" s="98"/>
    </row>
    <row r="178" spans="2:21" ht="30" x14ac:dyDescent="0.2">
      <c r="B178" s="72" t="s">
        <v>105516</v>
      </c>
      <c r="C178" s="72" t="s">
        <v>105573</v>
      </c>
      <c r="D178" s="72" t="s">
        <v>105573</v>
      </c>
      <c r="E178" s="72" t="s">
        <v>105573</v>
      </c>
      <c r="F178" s="72" t="s">
        <v>105556</v>
      </c>
      <c r="G178" s="72" t="s">
        <v>105538</v>
      </c>
      <c r="H178" s="72"/>
      <c r="I178" s="72"/>
      <c r="J178" s="72"/>
      <c r="K178" s="73"/>
      <c r="L178" s="73"/>
      <c r="M178" s="74" t="s">
        <v>107180</v>
      </c>
      <c r="N178" s="75"/>
      <c r="O178" s="75"/>
      <c r="P178" s="76"/>
      <c r="Q178" s="76"/>
      <c r="R178" s="77">
        <v>30000000</v>
      </c>
      <c r="S178" s="78"/>
      <c r="T178" s="78"/>
      <c r="U178" s="79"/>
    </row>
    <row r="179" spans="2:21" x14ac:dyDescent="0.2">
      <c r="B179" s="80" t="s">
        <v>105516</v>
      </c>
      <c r="C179" s="80" t="s">
        <v>105573</v>
      </c>
      <c r="D179" s="80" t="s">
        <v>105573</v>
      </c>
      <c r="E179" s="80" t="s">
        <v>105573</v>
      </c>
      <c r="F179" s="80" t="s">
        <v>105556</v>
      </c>
      <c r="G179" s="80" t="s">
        <v>105538</v>
      </c>
      <c r="H179" s="80" t="s">
        <v>105520</v>
      </c>
      <c r="I179" s="80"/>
      <c r="J179" s="80"/>
      <c r="K179" s="80"/>
      <c r="L179" s="80"/>
      <c r="M179" s="82" t="s">
        <v>107182</v>
      </c>
      <c r="N179" s="83"/>
      <c r="O179" s="83"/>
      <c r="P179" s="84"/>
      <c r="Q179" s="84"/>
      <c r="R179" s="85">
        <v>30000000</v>
      </c>
      <c r="S179" s="86"/>
      <c r="T179" s="86"/>
      <c r="U179" s="101"/>
    </row>
    <row r="180" spans="2:21" x14ac:dyDescent="0.2">
      <c r="B180" s="88"/>
      <c r="C180" s="89"/>
      <c r="D180" s="89"/>
      <c r="E180" s="89"/>
      <c r="F180" s="89"/>
      <c r="G180" s="89"/>
      <c r="H180" s="89"/>
      <c r="I180" s="89"/>
      <c r="J180" s="90"/>
      <c r="K180" s="90" t="s">
        <v>107179</v>
      </c>
      <c r="L180" s="91"/>
      <c r="M180" s="92"/>
      <c r="N180" s="93"/>
      <c r="O180" s="93"/>
      <c r="P180" s="94"/>
      <c r="Q180" s="132"/>
      <c r="R180" s="95"/>
      <c r="S180" s="96"/>
      <c r="T180" s="97"/>
      <c r="U180" s="98"/>
    </row>
    <row r="181" spans="2:21" ht="45" x14ac:dyDescent="0.2">
      <c r="B181" s="72" t="s">
        <v>105516</v>
      </c>
      <c r="C181" s="72" t="s">
        <v>105573</v>
      </c>
      <c r="D181" s="72" t="s">
        <v>105573</v>
      </c>
      <c r="E181" s="72" t="s">
        <v>105573</v>
      </c>
      <c r="F181" s="72" t="s">
        <v>105556</v>
      </c>
      <c r="G181" s="72" t="s">
        <v>105541</v>
      </c>
      <c r="H181" s="72"/>
      <c r="I181" s="72"/>
      <c r="J181" s="72"/>
      <c r="K181" s="73"/>
      <c r="L181" s="73"/>
      <c r="M181" s="74" t="s">
        <v>107192</v>
      </c>
      <c r="N181" s="75"/>
      <c r="O181" s="75"/>
      <c r="P181" s="76"/>
      <c r="Q181" s="76"/>
      <c r="R181" s="77">
        <v>227810112</v>
      </c>
      <c r="S181" s="78"/>
      <c r="T181" s="78"/>
      <c r="U181" s="79"/>
    </row>
    <row r="182" spans="2:21" ht="30" x14ac:dyDescent="0.2">
      <c r="B182" s="80" t="s">
        <v>105516</v>
      </c>
      <c r="C182" s="80" t="s">
        <v>105573</v>
      </c>
      <c r="D182" s="80" t="s">
        <v>105573</v>
      </c>
      <c r="E182" s="80" t="s">
        <v>105573</v>
      </c>
      <c r="F182" s="80" t="s">
        <v>105556</v>
      </c>
      <c r="G182" s="80" t="s">
        <v>105541</v>
      </c>
      <c r="H182" s="80" t="s">
        <v>105520</v>
      </c>
      <c r="I182" s="80"/>
      <c r="J182" s="80"/>
      <c r="K182" s="80"/>
      <c r="L182" s="80"/>
      <c r="M182" s="82" t="s">
        <v>107194</v>
      </c>
      <c r="N182" s="110"/>
      <c r="O182" s="110"/>
      <c r="P182" s="84"/>
      <c r="Q182" s="84"/>
      <c r="R182" s="112">
        <v>227810112</v>
      </c>
      <c r="S182" s="113"/>
      <c r="T182" s="113"/>
      <c r="U182" s="101"/>
    </row>
    <row r="183" spans="2:21" x14ac:dyDescent="0.2">
      <c r="B183" s="88"/>
      <c r="C183" s="89"/>
      <c r="D183" s="89"/>
      <c r="E183" s="89"/>
      <c r="F183" s="89"/>
      <c r="G183" s="89"/>
      <c r="H183" s="89"/>
      <c r="I183" s="89"/>
      <c r="J183" s="90"/>
      <c r="K183" s="90" t="s">
        <v>107191</v>
      </c>
      <c r="L183" s="91"/>
      <c r="M183" s="102"/>
      <c r="N183" s="93"/>
      <c r="O183" s="93"/>
      <c r="P183" s="94"/>
      <c r="Q183" s="94"/>
      <c r="R183" s="95"/>
      <c r="S183" s="96"/>
      <c r="T183" s="129"/>
      <c r="U183" s="92"/>
    </row>
    <row r="184" spans="2:21" x14ac:dyDescent="0.2">
      <c r="B184" s="88"/>
      <c r="C184" s="89"/>
      <c r="D184" s="89"/>
      <c r="E184" s="89"/>
      <c r="F184" s="89"/>
      <c r="G184" s="89"/>
      <c r="H184" s="89"/>
      <c r="I184" s="89"/>
      <c r="J184" s="90"/>
      <c r="K184" s="90" t="s">
        <v>107191</v>
      </c>
      <c r="L184" s="91"/>
      <c r="M184" s="102"/>
      <c r="N184" s="93"/>
      <c r="O184" s="93"/>
      <c r="P184" s="132"/>
      <c r="Q184" s="94"/>
      <c r="R184" s="95"/>
      <c r="S184" s="126"/>
      <c r="T184" s="129"/>
      <c r="U184" s="92"/>
    </row>
    <row r="185" spans="2:21" x14ac:dyDescent="0.2">
      <c r="B185" s="72" t="s">
        <v>105516</v>
      </c>
      <c r="C185" s="72" t="s">
        <v>105573</v>
      </c>
      <c r="D185" s="72" t="s">
        <v>105573</v>
      </c>
      <c r="E185" s="72" t="s">
        <v>105573</v>
      </c>
      <c r="F185" s="72" t="s">
        <v>105556</v>
      </c>
      <c r="G185" s="72" t="s">
        <v>105547</v>
      </c>
      <c r="H185" s="72"/>
      <c r="I185" s="72"/>
      <c r="J185" s="72"/>
      <c r="K185" s="73"/>
      <c r="L185" s="73"/>
      <c r="M185" s="74" t="s">
        <v>107214</v>
      </c>
      <c r="N185" s="75"/>
      <c r="O185" s="75"/>
      <c r="P185" s="76"/>
      <c r="Q185" s="76"/>
      <c r="R185" s="77">
        <v>75000000</v>
      </c>
      <c r="S185" s="78"/>
      <c r="T185" s="78"/>
      <c r="U185" s="79"/>
    </row>
    <row r="186" spans="2:21" x14ac:dyDescent="0.2">
      <c r="B186" s="80" t="s">
        <v>105516</v>
      </c>
      <c r="C186" s="80" t="s">
        <v>105573</v>
      </c>
      <c r="D186" s="80" t="s">
        <v>105573</v>
      </c>
      <c r="E186" s="80" t="s">
        <v>105573</v>
      </c>
      <c r="F186" s="80" t="s">
        <v>105556</v>
      </c>
      <c r="G186" s="80" t="s">
        <v>105547</v>
      </c>
      <c r="H186" s="80" t="s">
        <v>106109</v>
      </c>
      <c r="I186" s="80"/>
      <c r="J186" s="80"/>
      <c r="K186" s="80"/>
      <c r="L186" s="80"/>
      <c r="M186" s="82" t="s">
        <v>107228</v>
      </c>
      <c r="N186" s="83"/>
      <c r="O186" s="83"/>
      <c r="P186" s="84"/>
      <c r="Q186" s="84"/>
      <c r="R186" s="85">
        <v>75000000</v>
      </c>
      <c r="S186" s="86"/>
      <c r="T186" s="86"/>
      <c r="U186" s="101"/>
    </row>
    <row r="187" spans="2:21" x14ac:dyDescent="0.2">
      <c r="B187" s="88"/>
      <c r="C187" s="89"/>
      <c r="D187" s="89"/>
      <c r="E187" s="89"/>
      <c r="F187" s="89"/>
      <c r="G187" s="89"/>
      <c r="H187" s="89"/>
      <c r="I187" s="89"/>
      <c r="J187" s="90"/>
      <c r="K187" s="90" t="s">
        <v>107213</v>
      </c>
      <c r="L187" s="55"/>
      <c r="M187" s="92"/>
      <c r="N187" s="93"/>
      <c r="O187" s="93"/>
      <c r="P187" s="94"/>
      <c r="Q187" s="94"/>
      <c r="R187" s="95"/>
      <c r="S187" s="96"/>
      <c r="T187" s="97"/>
      <c r="U187" s="98"/>
    </row>
    <row r="188" spans="2:21" x14ac:dyDescent="0.2">
      <c r="B188" s="72" t="s">
        <v>105516</v>
      </c>
      <c r="C188" s="72" t="s">
        <v>105573</v>
      </c>
      <c r="D188" s="72" t="s">
        <v>105573</v>
      </c>
      <c r="E188" s="72" t="s">
        <v>105573</v>
      </c>
      <c r="F188" s="72" t="s">
        <v>105559</v>
      </c>
      <c r="G188" s="72"/>
      <c r="H188" s="72"/>
      <c r="I188" s="72"/>
      <c r="J188" s="72"/>
      <c r="K188" s="73"/>
      <c r="L188" s="73"/>
      <c r="M188" s="74" t="s">
        <v>105564</v>
      </c>
      <c r="N188" s="75"/>
      <c r="O188" s="75"/>
      <c r="P188" s="76"/>
      <c r="Q188" s="76"/>
      <c r="R188" s="77">
        <v>68000000</v>
      </c>
      <c r="S188" s="78"/>
      <c r="T188" s="78"/>
      <c r="U188" s="79"/>
    </row>
    <row r="189" spans="2:21" x14ac:dyDescent="0.2">
      <c r="B189" s="88"/>
      <c r="C189" s="89"/>
      <c r="D189" s="89"/>
      <c r="E189" s="89"/>
      <c r="F189" s="89"/>
      <c r="G189" s="89"/>
      <c r="H189" s="89"/>
      <c r="I189" s="89"/>
      <c r="J189" s="90"/>
      <c r="K189" s="90" t="s">
        <v>107241</v>
      </c>
      <c r="L189" s="55"/>
      <c r="M189" s="102"/>
      <c r="N189" s="93"/>
      <c r="O189" s="93"/>
      <c r="P189" s="94"/>
      <c r="Q189" s="94"/>
      <c r="R189" s="95"/>
      <c r="S189" s="96"/>
      <c r="T189" s="97"/>
      <c r="U189" s="98"/>
    </row>
    <row r="190" spans="2:21" ht="15.75" x14ac:dyDescent="0.2">
      <c r="B190" s="145" t="s">
        <v>105516</v>
      </c>
      <c r="C190" s="145" t="s">
        <v>105924</v>
      </c>
      <c r="D190" s="145"/>
      <c r="E190" s="145"/>
      <c r="F190" s="145"/>
      <c r="G190" s="145"/>
      <c r="H190" s="145"/>
      <c r="I190" s="145"/>
      <c r="J190" s="145"/>
      <c r="K190" s="146"/>
      <c r="L190" s="146"/>
      <c r="M190" s="147" t="s">
        <v>112080</v>
      </c>
      <c r="N190" s="148"/>
      <c r="O190" s="148"/>
      <c r="P190" s="149"/>
      <c r="Q190" s="149"/>
      <c r="R190" s="150">
        <v>11896000000</v>
      </c>
      <c r="S190" s="151"/>
      <c r="T190" s="151"/>
      <c r="U190" s="152"/>
    </row>
    <row r="191" spans="2:21" ht="15.75" x14ac:dyDescent="0.2">
      <c r="B191" s="153" t="s">
        <v>105516</v>
      </c>
      <c r="C191" s="153" t="s">
        <v>105924</v>
      </c>
      <c r="D191" s="153" t="s">
        <v>105520</v>
      </c>
      <c r="E191" s="153"/>
      <c r="F191" s="153"/>
      <c r="G191" s="153"/>
      <c r="H191" s="153"/>
      <c r="I191" s="153"/>
      <c r="J191" s="153"/>
      <c r="K191" s="154"/>
      <c r="L191" s="155"/>
      <c r="M191" s="156" t="s">
        <v>112080</v>
      </c>
      <c r="N191" s="157"/>
      <c r="O191" s="157"/>
      <c r="P191" s="158"/>
      <c r="Q191" s="158"/>
      <c r="R191" s="159">
        <v>9983000000</v>
      </c>
      <c r="S191" s="160"/>
      <c r="T191" s="160"/>
      <c r="U191" s="161"/>
    </row>
    <row r="192" spans="2:21" ht="15.75" x14ac:dyDescent="0.2">
      <c r="B192" s="162" t="s">
        <v>105516</v>
      </c>
      <c r="C192" s="162" t="s">
        <v>105924</v>
      </c>
      <c r="D192" s="162" t="s">
        <v>105520</v>
      </c>
      <c r="E192" s="162" t="s">
        <v>105520</v>
      </c>
      <c r="F192" s="162"/>
      <c r="G192" s="162"/>
      <c r="H192" s="162"/>
      <c r="I192" s="162"/>
      <c r="J192" s="162"/>
      <c r="K192" s="163"/>
      <c r="L192" s="163"/>
      <c r="M192" s="164" t="s">
        <v>106437</v>
      </c>
      <c r="N192" s="165"/>
      <c r="O192" s="165"/>
      <c r="P192" s="166"/>
      <c r="Q192" s="166"/>
      <c r="R192" s="167">
        <v>956764801</v>
      </c>
      <c r="S192" s="168"/>
      <c r="T192" s="168"/>
      <c r="U192" s="169"/>
    </row>
    <row r="193" spans="2:21" ht="30" x14ac:dyDescent="0.2">
      <c r="B193" s="63" t="s">
        <v>105516</v>
      </c>
      <c r="C193" s="63" t="s">
        <v>105924</v>
      </c>
      <c r="D193" s="63" t="s">
        <v>105520</v>
      </c>
      <c r="E193" s="63" t="s">
        <v>105520</v>
      </c>
      <c r="F193" s="63" t="s">
        <v>105538</v>
      </c>
      <c r="G193" s="63"/>
      <c r="H193" s="63"/>
      <c r="I193" s="63"/>
      <c r="J193" s="63"/>
      <c r="K193" s="64"/>
      <c r="L193" s="65"/>
      <c r="M193" s="66" t="s">
        <v>106589</v>
      </c>
      <c r="N193" s="67"/>
      <c r="O193" s="67"/>
      <c r="P193" s="68"/>
      <c r="Q193" s="68"/>
      <c r="R193" s="69">
        <v>849501515</v>
      </c>
      <c r="S193" s="70"/>
      <c r="T193" s="70"/>
      <c r="U193" s="71"/>
    </row>
    <row r="194" spans="2:21" ht="30" x14ac:dyDescent="0.2">
      <c r="B194" s="170" t="s">
        <v>105516</v>
      </c>
      <c r="C194" s="170" t="s">
        <v>105924</v>
      </c>
      <c r="D194" s="170" t="s">
        <v>105520</v>
      </c>
      <c r="E194" s="170" t="s">
        <v>105520</v>
      </c>
      <c r="F194" s="170" t="s">
        <v>105538</v>
      </c>
      <c r="G194" s="170" t="s">
        <v>105535</v>
      </c>
      <c r="H194" s="170"/>
      <c r="I194" s="170"/>
      <c r="J194" s="170"/>
      <c r="K194" s="171"/>
      <c r="L194" s="171"/>
      <c r="M194" s="172" t="s">
        <v>106593</v>
      </c>
      <c r="N194" s="173"/>
      <c r="O194" s="173"/>
      <c r="P194" s="174"/>
      <c r="Q194" s="174"/>
      <c r="R194" s="175">
        <v>25000000</v>
      </c>
      <c r="S194" s="176"/>
      <c r="T194" s="176"/>
      <c r="U194" s="177"/>
    </row>
    <row r="195" spans="2:21" x14ac:dyDescent="0.2">
      <c r="B195" s="80" t="s">
        <v>105516</v>
      </c>
      <c r="C195" s="80" t="s">
        <v>105924</v>
      </c>
      <c r="D195" s="80" t="s">
        <v>105520</v>
      </c>
      <c r="E195" s="80" t="s">
        <v>105520</v>
      </c>
      <c r="F195" s="81" t="s">
        <v>105538</v>
      </c>
      <c r="G195" s="81" t="s">
        <v>105535</v>
      </c>
      <c r="H195" s="81" t="s">
        <v>105520</v>
      </c>
      <c r="I195" s="80"/>
      <c r="J195" s="80"/>
      <c r="K195" s="80"/>
      <c r="L195" s="80"/>
      <c r="M195" s="82" t="s">
        <v>106595</v>
      </c>
      <c r="N195" s="83"/>
      <c r="O195" s="83"/>
      <c r="P195" s="84"/>
      <c r="Q195" s="84"/>
      <c r="R195" s="85">
        <v>25000000</v>
      </c>
      <c r="S195" s="86"/>
      <c r="T195" s="86"/>
      <c r="U195" s="101"/>
    </row>
    <row r="196" spans="2:21" x14ac:dyDescent="0.2">
      <c r="B196" s="88"/>
      <c r="C196" s="89"/>
      <c r="D196" s="89"/>
      <c r="E196" s="89"/>
      <c r="F196" s="89"/>
      <c r="G196" s="89"/>
      <c r="H196" s="89"/>
      <c r="I196" s="89"/>
      <c r="J196" s="90"/>
      <c r="K196" s="90" t="s">
        <v>112177</v>
      </c>
      <c r="L196" s="91"/>
      <c r="M196" s="92"/>
      <c r="N196" s="93"/>
      <c r="O196" s="93"/>
      <c r="P196" s="94"/>
      <c r="Q196" s="94"/>
      <c r="R196" s="95"/>
      <c r="S196" s="96"/>
      <c r="T196" s="129"/>
      <c r="U196" s="98"/>
    </row>
    <row r="197" spans="2:21" ht="30" x14ac:dyDescent="0.2">
      <c r="B197" s="170" t="s">
        <v>105516</v>
      </c>
      <c r="C197" s="170" t="s">
        <v>105924</v>
      </c>
      <c r="D197" s="170" t="s">
        <v>105520</v>
      </c>
      <c r="E197" s="170" t="s">
        <v>105520</v>
      </c>
      <c r="F197" s="170" t="s">
        <v>105538</v>
      </c>
      <c r="G197" s="170" t="s">
        <v>105538</v>
      </c>
      <c r="H197" s="170"/>
      <c r="I197" s="170"/>
      <c r="J197" s="170"/>
      <c r="K197" s="171"/>
      <c r="L197" s="171"/>
      <c r="M197" s="172" t="s">
        <v>106611</v>
      </c>
      <c r="N197" s="173"/>
      <c r="O197" s="173"/>
      <c r="P197" s="174"/>
      <c r="Q197" s="174"/>
      <c r="R197" s="175">
        <v>100000000</v>
      </c>
      <c r="S197" s="176"/>
      <c r="T197" s="176"/>
      <c r="U197" s="177"/>
    </row>
    <row r="198" spans="2:21" ht="60" x14ac:dyDescent="0.2">
      <c r="B198" s="80" t="s">
        <v>105516</v>
      </c>
      <c r="C198" s="80" t="s">
        <v>105924</v>
      </c>
      <c r="D198" s="80" t="s">
        <v>105520</v>
      </c>
      <c r="E198" s="80" t="s">
        <v>105520</v>
      </c>
      <c r="F198" s="81" t="s">
        <v>105538</v>
      </c>
      <c r="G198" s="81" t="s">
        <v>105538</v>
      </c>
      <c r="H198" s="81" t="s">
        <v>105675</v>
      </c>
      <c r="I198" s="80"/>
      <c r="J198" s="80"/>
      <c r="K198" s="80"/>
      <c r="L198" s="80"/>
      <c r="M198" s="82" t="s">
        <v>106617</v>
      </c>
      <c r="N198" s="83"/>
      <c r="O198" s="83"/>
      <c r="P198" s="84"/>
      <c r="Q198" s="84"/>
      <c r="R198" s="85">
        <v>100000000</v>
      </c>
      <c r="S198" s="86"/>
      <c r="T198" s="86"/>
      <c r="U198" s="101"/>
    </row>
    <row r="199" spans="2:21" x14ac:dyDescent="0.2">
      <c r="B199" s="88"/>
      <c r="C199" s="89"/>
      <c r="D199" s="89"/>
      <c r="E199" s="89"/>
      <c r="F199" s="89"/>
      <c r="G199" s="89"/>
      <c r="H199" s="89"/>
      <c r="I199" s="89"/>
      <c r="J199" s="89"/>
      <c r="K199" s="90" t="s">
        <v>112186</v>
      </c>
      <c r="L199" s="178"/>
      <c r="M199" s="102"/>
      <c r="N199" s="93"/>
      <c r="O199" s="93"/>
      <c r="P199" s="94"/>
      <c r="Q199" s="94"/>
      <c r="R199" s="95"/>
      <c r="S199" s="96"/>
      <c r="T199" s="129"/>
      <c r="U199" s="98"/>
    </row>
    <row r="200" spans="2:21" ht="30" x14ac:dyDescent="0.2">
      <c r="B200" s="170" t="s">
        <v>105516</v>
      </c>
      <c r="C200" s="170" t="s">
        <v>105924</v>
      </c>
      <c r="D200" s="170" t="s">
        <v>105520</v>
      </c>
      <c r="E200" s="170" t="s">
        <v>105520</v>
      </c>
      <c r="F200" s="170" t="s">
        <v>105538</v>
      </c>
      <c r="G200" s="179" t="s">
        <v>105544</v>
      </c>
      <c r="H200" s="170"/>
      <c r="I200" s="170"/>
      <c r="J200" s="170"/>
      <c r="K200" s="171"/>
      <c r="L200" s="171"/>
      <c r="M200" s="172" t="s">
        <v>106645</v>
      </c>
      <c r="N200" s="173"/>
      <c r="O200" s="173"/>
      <c r="P200" s="174"/>
      <c r="Q200" s="174"/>
      <c r="R200" s="175">
        <v>85000000</v>
      </c>
      <c r="S200" s="176"/>
      <c r="T200" s="176"/>
      <c r="U200" s="177"/>
    </row>
    <row r="201" spans="2:21" x14ac:dyDescent="0.2">
      <c r="B201" s="80" t="s">
        <v>105516</v>
      </c>
      <c r="C201" s="80" t="s">
        <v>105924</v>
      </c>
      <c r="D201" s="80" t="s">
        <v>105520</v>
      </c>
      <c r="E201" s="80" t="s">
        <v>105520</v>
      </c>
      <c r="F201" s="80" t="s">
        <v>105538</v>
      </c>
      <c r="G201" s="80" t="s">
        <v>105544</v>
      </c>
      <c r="H201" s="180" t="s">
        <v>105573</v>
      </c>
      <c r="I201" s="80"/>
      <c r="J201" s="80"/>
      <c r="K201" s="80"/>
      <c r="L201" s="80"/>
      <c r="M201" s="109" t="s">
        <v>106649</v>
      </c>
      <c r="N201" s="83"/>
      <c r="O201" s="83"/>
      <c r="P201" s="84"/>
      <c r="Q201" s="84"/>
      <c r="R201" s="85">
        <v>85000000</v>
      </c>
      <c r="S201" s="86"/>
      <c r="T201" s="86"/>
      <c r="U201" s="101"/>
    </row>
    <row r="202" spans="2:21" x14ac:dyDescent="0.2">
      <c r="B202" s="138"/>
      <c r="C202" s="139"/>
      <c r="D202" s="139"/>
      <c r="E202" s="139"/>
      <c r="F202" s="139"/>
      <c r="G202" s="139"/>
      <c r="H202" s="139"/>
      <c r="I202" s="139"/>
      <c r="J202" s="140"/>
      <c r="K202" s="90" t="s">
        <v>112204</v>
      </c>
      <c r="L202" s="91"/>
      <c r="M202" s="102"/>
      <c r="N202" s="93"/>
      <c r="O202" s="93"/>
      <c r="P202" s="94"/>
      <c r="Q202" s="94"/>
      <c r="R202" s="95"/>
      <c r="S202" s="96"/>
      <c r="T202" s="97"/>
      <c r="U202" s="98"/>
    </row>
    <row r="203" spans="2:21" x14ac:dyDescent="0.2">
      <c r="B203" s="138"/>
      <c r="C203" s="139"/>
      <c r="D203" s="139"/>
      <c r="E203" s="139"/>
      <c r="F203" s="139"/>
      <c r="G203" s="139"/>
      <c r="H203" s="139"/>
      <c r="I203" s="139"/>
      <c r="J203" s="140"/>
      <c r="K203" s="90" t="s">
        <v>112204</v>
      </c>
      <c r="L203" s="91"/>
      <c r="M203" s="102"/>
      <c r="N203" s="93"/>
      <c r="O203" s="93"/>
      <c r="P203" s="94"/>
      <c r="Q203" s="94"/>
      <c r="R203" s="95"/>
      <c r="S203" s="96"/>
      <c r="T203" s="97"/>
      <c r="U203" s="98"/>
    </row>
    <row r="204" spans="2:21" x14ac:dyDescent="0.2">
      <c r="B204" s="170" t="s">
        <v>105516</v>
      </c>
      <c r="C204" s="170" t="s">
        <v>105924</v>
      </c>
      <c r="D204" s="170" t="s">
        <v>105520</v>
      </c>
      <c r="E204" s="170" t="s">
        <v>105520</v>
      </c>
      <c r="F204" s="170" t="s">
        <v>105538</v>
      </c>
      <c r="G204" s="179" t="s">
        <v>105547</v>
      </c>
      <c r="H204" s="170"/>
      <c r="I204" s="170"/>
      <c r="J204" s="170"/>
      <c r="K204" s="171"/>
      <c r="L204" s="171"/>
      <c r="M204" s="172" t="s">
        <v>106657</v>
      </c>
      <c r="N204" s="173"/>
      <c r="O204" s="173"/>
      <c r="P204" s="174"/>
      <c r="Q204" s="174"/>
      <c r="R204" s="175">
        <v>439501515</v>
      </c>
      <c r="S204" s="176"/>
      <c r="T204" s="176"/>
      <c r="U204" s="177"/>
    </row>
    <row r="205" spans="2:21" x14ac:dyDescent="0.2">
      <c r="B205" s="80" t="s">
        <v>105516</v>
      </c>
      <c r="C205" s="80" t="s">
        <v>105924</v>
      </c>
      <c r="D205" s="80" t="s">
        <v>105520</v>
      </c>
      <c r="E205" s="80" t="s">
        <v>105520</v>
      </c>
      <c r="F205" s="80" t="s">
        <v>105538</v>
      </c>
      <c r="G205" s="180" t="s">
        <v>105547</v>
      </c>
      <c r="H205" s="180" t="s">
        <v>105675</v>
      </c>
      <c r="I205" s="80"/>
      <c r="J205" s="80"/>
      <c r="K205" s="80"/>
      <c r="L205" s="80"/>
      <c r="M205" s="82" t="s">
        <v>106663</v>
      </c>
      <c r="N205" s="83"/>
      <c r="O205" s="83"/>
      <c r="P205" s="84"/>
      <c r="Q205" s="84"/>
      <c r="R205" s="85">
        <v>129501515</v>
      </c>
      <c r="S205" s="86"/>
      <c r="T205" s="86"/>
      <c r="U205" s="101"/>
    </row>
    <row r="206" spans="2:21" x14ac:dyDescent="0.2">
      <c r="B206" s="88"/>
      <c r="C206" s="89"/>
      <c r="D206" s="89"/>
      <c r="E206" s="89"/>
      <c r="F206" s="89"/>
      <c r="G206" s="89"/>
      <c r="H206" s="89"/>
      <c r="I206" s="89"/>
      <c r="J206" s="90"/>
      <c r="K206" s="90" t="s">
        <v>112210</v>
      </c>
      <c r="L206" s="91"/>
      <c r="M206" s="102"/>
      <c r="N206" s="93"/>
      <c r="O206" s="93"/>
      <c r="P206" s="94"/>
      <c r="Q206" s="94"/>
      <c r="R206" s="95"/>
      <c r="S206" s="96"/>
      <c r="T206" s="97"/>
      <c r="U206" s="98"/>
    </row>
    <row r="207" spans="2:21" x14ac:dyDescent="0.2">
      <c r="B207" s="138"/>
      <c r="C207" s="139"/>
      <c r="D207" s="139"/>
      <c r="E207" s="139"/>
      <c r="F207" s="139"/>
      <c r="G207" s="139"/>
      <c r="H207" s="139"/>
      <c r="I207" s="139"/>
      <c r="J207" s="140"/>
      <c r="K207" s="90" t="s">
        <v>112210</v>
      </c>
      <c r="L207" s="181"/>
      <c r="M207" s="102"/>
      <c r="N207" s="93"/>
      <c r="O207" s="93"/>
      <c r="P207" s="94"/>
      <c r="Q207" s="94"/>
      <c r="R207" s="95"/>
      <c r="S207" s="96"/>
      <c r="T207" s="97"/>
      <c r="U207" s="98"/>
    </row>
    <row r="208" spans="2:21" x14ac:dyDescent="0.2">
      <c r="B208" s="80" t="s">
        <v>105516</v>
      </c>
      <c r="C208" s="80" t="s">
        <v>105924</v>
      </c>
      <c r="D208" s="80" t="s">
        <v>105520</v>
      </c>
      <c r="E208" s="80" t="s">
        <v>105520</v>
      </c>
      <c r="F208" s="80" t="s">
        <v>105538</v>
      </c>
      <c r="G208" s="180" t="s">
        <v>105547</v>
      </c>
      <c r="H208" s="180" t="s">
        <v>106109</v>
      </c>
      <c r="I208" s="80"/>
      <c r="J208" s="80"/>
      <c r="K208" s="80"/>
      <c r="L208" s="80"/>
      <c r="M208" s="109" t="s">
        <v>106667</v>
      </c>
      <c r="N208" s="83"/>
      <c r="O208" s="83"/>
      <c r="P208" s="84"/>
      <c r="Q208" s="84"/>
      <c r="R208" s="85">
        <v>310000000</v>
      </c>
      <c r="S208" s="86"/>
      <c r="T208" s="86"/>
      <c r="U208" s="101"/>
    </row>
    <row r="209" spans="2:21" x14ac:dyDescent="0.2">
      <c r="B209" s="138"/>
      <c r="C209" s="139"/>
      <c r="D209" s="139"/>
      <c r="E209" s="139"/>
      <c r="F209" s="139"/>
      <c r="G209" s="139"/>
      <c r="H209" s="139"/>
      <c r="I209" s="139"/>
      <c r="J209" s="140"/>
      <c r="K209" s="90" t="s">
        <v>112210</v>
      </c>
      <c r="L209" s="119"/>
      <c r="M209" s="120"/>
      <c r="N209" s="121"/>
      <c r="O209" s="93"/>
      <c r="P209" s="94"/>
      <c r="Q209" s="132"/>
      <c r="R209" s="95"/>
      <c r="S209" s="96"/>
      <c r="T209" s="97"/>
      <c r="U209" s="98"/>
    </row>
    <row r="210" spans="2:21" ht="30" x14ac:dyDescent="0.2">
      <c r="B210" s="170" t="s">
        <v>105516</v>
      </c>
      <c r="C210" s="170" t="s">
        <v>105924</v>
      </c>
      <c r="D210" s="170" t="s">
        <v>105520</v>
      </c>
      <c r="E210" s="170" t="s">
        <v>105520</v>
      </c>
      <c r="F210" s="170" t="s">
        <v>105538</v>
      </c>
      <c r="G210" s="170" t="s">
        <v>105550</v>
      </c>
      <c r="H210" s="170"/>
      <c r="I210" s="170"/>
      <c r="J210" s="170"/>
      <c r="K210" s="171"/>
      <c r="L210" s="171"/>
      <c r="M210" s="172" t="s">
        <v>106669</v>
      </c>
      <c r="N210" s="173"/>
      <c r="O210" s="173"/>
      <c r="P210" s="174"/>
      <c r="Q210" s="174"/>
      <c r="R210" s="175">
        <v>200000000</v>
      </c>
      <c r="S210" s="176"/>
      <c r="T210" s="176"/>
      <c r="U210" s="177"/>
    </row>
    <row r="211" spans="2:21" x14ac:dyDescent="0.2">
      <c r="B211" s="80" t="s">
        <v>105516</v>
      </c>
      <c r="C211" s="80" t="s">
        <v>105924</v>
      </c>
      <c r="D211" s="80" t="s">
        <v>105520</v>
      </c>
      <c r="E211" s="80" t="s">
        <v>105520</v>
      </c>
      <c r="F211" s="80" t="s">
        <v>105538</v>
      </c>
      <c r="G211" s="80" t="s">
        <v>105550</v>
      </c>
      <c r="H211" s="80" t="s">
        <v>105520</v>
      </c>
      <c r="I211" s="80"/>
      <c r="J211" s="80"/>
      <c r="K211" s="80"/>
      <c r="L211" s="80"/>
      <c r="M211" s="82" t="s">
        <v>106671</v>
      </c>
      <c r="N211" s="83"/>
      <c r="O211" s="83"/>
      <c r="P211" s="84"/>
      <c r="Q211" s="84"/>
      <c r="R211" s="85">
        <v>200000000</v>
      </c>
      <c r="S211" s="86"/>
      <c r="T211" s="86"/>
      <c r="U211" s="101"/>
    </row>
    <row r="212" spans="2:21" x14ac:dyDescent="0.2">
      <c r="B212" s="88"/>
      <c r="C212" s="89"/>
      <c r="D212" s="89"/>
      <c r="E212" s="89"/>
      <c r="F212" s="89"/>
      <c r="G212" s="89"/>
      <c r="H212" s="89"/>
      <c r="I212" s="89"/>
      <c r="J212" s="90"/>
      <c r="K212" s="90" t="s">
        <v>112216</v>
      </c>
      <c r="L212" s="91"/>
      <c r="M212" s="102"/>
      <c r="N212" s="93"/>
      <c r="O212" s="93"/>
      <c r="P212" s="94"/>
      <c r="Q212" s="94"/>
      <c r="R212" s="95"/>
      <c r="S212" s="96"/>
      <c r="T212" s="97"/>
      <c r="U212" s="98"/>
    </row>
    <row r="213" spans="2:21" x14ac:dyDescent="0.2">
      <c r="B213" s="63" t="s">
        <v>105516</v>
      </c>
      <c r="C213" s="63" t="s">
        <v>105924</v>
      </c>
      <c r="D213" s="63" t="s">
        <v>105520</v>
      </c>
      <c r="E213" s="63" t="s">
        <v>105520</v>
      </c>
      <c r="F213" s="182" t="s">
        <v>105541</v>
      </c>
      <c r="G213" s="63"/>
      <c r="H213" s="63"/>
      <c r="I213" s="63"/>
      <c r="J213" s="63"/>
      <c r="K213" s="64"/>
      <c r="L213" s="65"/>
      <c r="M213" s="66" t="s">
        <v>112242</v>
      </c>
      <c r="N213" s="67"/>
      <c r="O213" s="67"/>
      <c r="P213" s="68"/>
      <c r="Q213" s="68"/>
      <c r="R213" s="69">
        <v>107263286</v>
      </c>
      <c r="S213" s="70"/>
      <c r="T213" s="70"/>
      <c r="U213" s="71"/>
    </row>
    <row r="214" spans="2:21" ht="30" x14ac:dyDescent="0.2">
      <c r="B214" s="170" t="s">
        <v>105516</v>
      </c>
      <c r="C214" s="170" t="s">
        <v>105924</v>
      </c>
      <c r="D214" s="170" t="s">
        <v>105520</v>
      </c>
      <c r="E214" s="170" t="s">
        <v>105520</v>
      </c>
      <c r="F214" s="170" t="s">
        <v>105541</v>
      </c>
      <c r="G214" s="170" t="s">
        <v>105535</v>
      </c>
      <c r="H214" s="170"/>
      <c r="I214" s="170"/>
      <c r="J214" s="170"/>
      <c r="K214" s="171"/>
      <c r="L214" s="171"/>
      <c r="M214" s="172" t="s">
        <v>106709</v>
      </c>
      <c r="N214" s="173"/>
      <c r="O214" s="173"/>
      <c r="P214" s="174"/>
      <c r="Q214" s="174"/>
      <c r="R214" s="175">
        <v>54263286</v>
      </c>
      <c r="S214" s="176"/>
      <c r="T214" s="176"/>
      <c r="U214" s="177"/>
    </row>
    <row r="215" spans="2:21" x14ac:dyDescent="0.2">
      <c r="B215" s="88"/>
      <c r="C215" s="89"/>
      <c r="D215" s="89"/>
      <c r="E215" s="89"/>
      <c r="F215" s="89"/>
      <c r="G215" s="89"/>
      <c r="H215" s="89"/>
      <c r="I215" s="89"/>
      <c r="J215" s="90"/>
      <c r="K215" s="90" t="s">
        <v>112244</v>
      </c>
      <c r="L215" s="181"/>
      <c r="M215" s="102"/>
      <c r="N215" s="93"/>
      <c r="O215" s="93"/>
      <c r="P215" s="94"/>
      <c r="Q215" s="94"/>
      <c r="R215" s="95"/>
      <c r="S215" s="96"/>
      <c r="T215" s="97"/>
      <c r="U215" s="98"/>
    </row>
    <row r="216" spans="2:21" x14ac:dyDescent="0.2">
      <c r="B216" s="170" t="s">
        <v>105516</v>
      </c>
      <c r="C216" s="170" t="s">
        <v>105924</v>
      </c>
      <c r="D216" s="170" t="s">
        <v>105520</v>
      </c>
      <c r="E216" s="170" t="s">
        <v>105520</v>
      </c>
      <c r="F216" s="170" t="s">
        <v>105541</v>
      </c>
      <c r="G216" s="179" t="s">
        <v>105547</v>
      </c>
      <c r="H216" s="170"/>
      <c r="I216" s="170"/>
      <c r="J216" s="170"/>
      <c r="K216" s="171"/>
      <c r="L216" s="171"/>
      <c r="M216" s="172" t="s">
        <v>106282</v>
      </c>
      <c r="N216" s="173"/>
      <c r="O216" s="173"/>
      <c r="P216" s="174"/>
      <c r="Q216" s="174"/>
      <c r="R216" s="175">
        <v>53000000</v>
      </c>
      <c r="S216" s="176"/>
      <c r="T216" s="176"/>
      <c r="U216" s="177"/>
    </row>
    <row r="217" spans="2:21" x14ac:dyDescent="0.2">
      <c r="B217" s="88"/>
      <c r="C217" s="89"/>
      <c r="D217" s="89"/>
      <c r="E217" s="89"/>
      <c r="F217" s="89"/>
      <c r="G217" s="89"/>
      <c r="H217" s="89"/>
      <c r="I217" s="89"/>
      <c r="J217" s="90"/>
      <c r="K217" s="90" t="s">
        <v>112266</v>
      </c>
      <c r="L217" s="181"/>
      <c r="M217" s="102"/>
      <c r="N217" s="93"/>
      <c r="O217" s="93"/>
      <c r="P217" s="94"/>
      <c r="Q217" s="94"/>
      <c r="R217" s="95"/>
      <c r="S217" s="96"/>
      <c r="T217" s="97"/>
      <c r="U217" s="98"/>
    </row>
    <row r="218" spans="2:21" ht="15.75" x14ac:dyDescent="0.2">
      <c r="B218" s="162" t="s">
        <v>105516</v>
      </c>
      <c r="C218" s="162" t="s">
        <v>105924</v>
      </c>
      <c r="D218" s="162" t="s">
        <v>105520</v>
      </c>
      <c r="E218" s="162" t="s">
        <v>105573</v>
      </c>
      <c r="F218" s="162"/>
      <c r="G218" s="162"/>
      <c r="H218" s="162"/>
      <c r="I218" s="162"/>
      <c r="J218" s="162"/>
      <c r="K218" s="163"/>
      <c r="L218" s="163">
        <v>30171700</v>
      </c>
      <c r="M218" s="164" t="s">
        <v>106777</v>
      </c>
      <c r="N218" s="165"/>
      <c r="O218" s="165"/>
      <c r="P218" s="166"/>
      <c r="Q218" s="166"/>
      <c r="R218" s="167">
        <v>9026235199</v>
      </c>
      <c r="S218" s="168"/>
      <c r="T218" s="168"/>
      <c r="U218" s="169"/>
    </row>
    <row r="219" spans="2:21" x14ac:dyDescent="0.2">
      <c r="B219" s="63" t="s">
        <v>105516</v>
      </c>
      <c r="C219" s="63" t="s">
        <v>105924</v>
      </c>
      <c r="D219" s="63" t="s">
        <v>105520</v>
      </c>
      <c r="E219" s="63" t="s">
        <v>105573</v>
      </c>
      <c r="F219" s="63" t="s">
        <v>105544</v>
      </c>
      <c r="G219" s="63"/>
      <c r="H219" s="63"/>
      <c r="I219" s="63"/>
      <c r="J219" s="63"/>
      <c r="K219" s="64"/>
      <c r="L219" s="65">
        <v>75153000</v>
      </c>
      <c r="M219" s="66" t="s">
        <v>106779</v>
      </c>
      <c r="N219" s="67"/>
      <c r="O219" s="67"/>
      <c r="P219" s="68"/>
      <c r="Q219" s="68"/>
      <c r="R219" s="69">
        <v>6357745320</v>
      </c>
      <c r="S219" s="70"/>
      <c r="T219" s="70"/>
      <c r="U219" s="71"/>
    </row>
    <row r="220" spans="2:21" x14ac:dyDescent="0.2">
      <c r="B220" s="170" t="s">
        <v>105516</v>
      </c>
      <c r="C220" s="170" t="s">
        <v>105924</v>
      </c>
      <c r="D220" s="170" t="s">
        <v>105520</v>
      </c>
      <c r="E220" s="170" t="s">
        <v>105573</v>
      </c>
      <c r="F220" s="170" t="s">
        <v>105544</v>
      </c>
      <c r="G220" s="170" t="s">
        <v>105541</v>
      </c>
      <c r="H220" s="170"/>
      <c r="I220" s="170"/>
      <c r="J220" s="170"/>
      <c r="K220" s="171"/>
      <c r="L220" s="171"/>
      <c r="M220" s="183" t="s">
        <v>106781</v>
      </c>
      <c r="N220" s="173"/>
      <c r="O220" s="173"/>
      <c r="P220" s="174"/>
      <c r="Q220" s="174"/>
      <c r="R220" s="175">
        <v>6357745320</v>
      </c>
      <c r="S220" s="176"/>
      <c r="T220" s="176"/>
      <c r="U220" s="177"/>
    </row>
    <row r="221" spans="2:21" x14ac:dyDescent="0.2">
      <c r="B221" s="80" t="s">
        <v>105516</v>
      </c>
      <c r="C221" s="80" t="s">
        <v>105924</v>
      </c>
      <c r="D221" s="80" t="s">
        <v>105520</v>
      </c>
      <c r="E221" s="80" t="s">
        <v>105573</v>
      </c>
      <c r="F221" s="80" t="s">
        <v>105544</v>
      </c>
      <c r="G221" s="80" t="s">
        <v>105541</v>
      </c>
      <c r="H221" s="80" t="s">
        <v>105924</v>
      </c>
      <c r="I221" s="80"/>
      <c r="J221" s="80"/>
      <c r="K221" s="80"/>
      <c r="L221" s="80"/>
      <c r="M221" s="82" t="s">
        <v>106811</v>
      </c>
      <c r="N221" s="83"/>
      <c r="O221" s="83"/>
      <c r="P221" s="84"/>
      <c r="Q221" s="84"/>
      <c r="R221" s="85">
        <v>4823043320</v>
      </c>
      <c r="S221" s="86"/>
      <c r="T221" s="86"/>
      <c r="U221" s="101"/>
    </row>
    <row r="222" spans="2:21" x14ac:dyDescent="0.2">
      <c r="B222" s="88"/>
      <c r="C222" s="89"/>
      <c r="D222" s="89"/>
      <c r="E222" s="89"/>
      <c r="F222" s="89"/>
      <c r="G222" s="89"/>
      <c r="H222" s="89"/>
      <c r="I222" s="89"/>
      <c r="J222" s="90"/>
      <c r="K222" s="90" t="s">
        <v>112301</v>
      </c>
      <c r="L222" s="91"/>
      <c r="M222" s="92"/>
      <c r="N222" s="93"/>
      <c r="O222" s="93"/>
      <c r="P222" s="94"/>
      <c r="Q222" s="94"/>
      <c r="R222" s="95"/>
      <c r="S222" s="96"/>
      <c r="T222" s="129"/>
      <c r="U222" s="98"/>
    </row>
    <row r="223" spans="2:21" x14ac:dyDescent="0.2">
      <c r="B223" s="88"/>
      <c r="C223" s="89"/>
      <c r="D223" s="89"/>
      <c r="E223" s="89"/>
      <c r="F223" s="89"/>
      <c r="G223" s="89"/>
      <c r="H223" s="89"/>
      <c r="I223" s="89"/>
      <c r="J223" s="90"/>
      <c r="K223" s="90" t="s">
        <v>112301</v>
      </c>
      <c r="L223" s="91"/>
      <c r="M223" s="92"/>
      <c r="N223" s="93"/>
      <c r="O223" s="93"/>
      <c r="P223" s="94"/>
      <c r="Q223" s="94"/>
      <c r="R223" s="95"/>
      <c r="S223" s="96"/>
      <c r="T223" s="129"/>
      <c r="U223" s="98"/>
    </row>
    <row r="224" spans="2:21" x14ac:dyDescent="0.2">
      <c r="B224" s="88"/>
      <c r="C224" s="89"/>
      <c r="D224" s="89"/>
      <c r="E224" s="89"/>
      <c r="F224" s="89"/>
      <c r="G224" s="89"/>
      <c r="H224" s="89"/>
      <c r="I224" s="89"/>
      <c r="J224" s="90"/>
      <c r="K224" s="90" t="s">
        <v>112301</v>
      </c>
      <c r="L224" s="91"/>
      <c r="M224" s="92"/>
      <c r="N224" s="93"/>
      <c r="O224" s="93"/>
      <c r="P224" s="94"/>
      <c r="Q224" s="94"/>
      <c r="R224" s="95"/>
      <c r="S224" s="96"/>
      <c r="T224" s="184"/>
      <c r="U224" s="98"/>
    </row>
    <row r="225" spans="2:21" x14ac:dyDescent="0.2">
      <c r="B225" s="88"/>
      <c r="C225" s="89"/>
      <c r="D225" s="89"/>
      <c r="E225" s="89"/>
      <c r="F225" s="89"/>
      <c r="G225" s="89"/>
      <c r="H225" s="89"/>
      <c r="I225" s="89"/>
      <c r="J225" s="90"/>
      <c r="K225" s="90" t="s">
        <v>112301</v>
      </c>
      <c r="L225" s="91"/>
      <c r="M225" s="92"/>
      <c r="N225" s="93"/>
      <c r="O225" s="93"/>
      <c r="P225" s="94"/>
      <c r="Q225" s="94"/>
      <c r="R225" s="95"/>
      <c r="S225" s="185"/>
      <c r="T225" s="129"/>
      <c r="U225" s="98"/>
    </row>
    <row r="226" spans="2:21" x14ac:dyDescent="0.2">
      <c r="B226" s="88"/>
      <c r="C226" s="89"/>
      <c r="D226" s="89"/>
      <c r="E226" s="89"/>
      <c r="F226" s="89"/>
      <c r="G226" s="89"/>
      <c r="H226" s="89"/>
      <c r="I226" s="89"/>
      <c r="J226" s="90"/>
      <c r="K226" s="90" t="s">
        <v>112301</v>
      </c>
      <c r="L226" s="91"/>
      <c r="M226" s="92"/>
      <c r="N226" s="93"/>
      <c r="O226" s="93"/>
      <c r="P226" s="94"/>
      <c r="Q226" s="94"/>
      <c r="R226" s="95"/>
      <c r="S226" s="96"/>
      <c r="T226" s="129"/>
      <c r="U226" s="98"/>
    </row>
    <row r="227" spans="2:21" x14ac:dyDescent="0.2">
      <c r="B227" s="88"/>
      <c r="C227" s="89"/>
      <c r="D227" s="89"/>
      <c r="E227" s="89"/>
      <c r="F227" s="89"/>
      <c r="G227" s="89"/>
      <c r="H227" s="89"/>
      <c r="I227" s="89"/>
      <c r="J227" s="90"/>
      <c r="K227" s="90" t="s">
        <v>112301</v>
      </c>
      <c r="L227" s="91"/>
      <c r="M227" s="92"/>
      <c r="N227" s="93"/>
      <c r="O227" s="93"/>
      <c r="P227" s="132"/>
      <c r="Q227" s="94"/>
      <c r="R227" s="95"/>
      <c r="S227" s="186"/>
      <c r="T227" s="184"/>
      <c r="U227" s="98"/>
    </row>
    <row r="228" spans="2:21" x14ac:dyDescent="0.2">
      <c r="B228" s="88"/>
      <c r="C228" s="89"/>
      <c r="D228" s="89"/>
      <c r="E228" s="89"/>
      <c r="F228" s="89"/>
      <c r="G228" s="89"/>
      <c r="H228" s="89"/>
      <c r="I228" s="89"/>
      <c r="J228" s="90"/>
      <c r="K228" s="90" t="s">
        <v>112301</v>
      </c>
      <c r="L228" s="91"/>
      <c r="M228" s="92"/>
      <c r="N228" s="93"/>
      <c r="O228" s="93"/>
      <c r="P228" s="132"/>
      <c r="Q228" s="94"/>
      <c r="R228" s="95"/>
      <c r="S228" s="186"/>
      <c r="T228" s="184"/>
      <c r="U228" s="98"/>
    </row>
    <row r="229" spans="2:21" ht="45" x14ac:dyDescent="0.2">
      <c r="B229" s="88"/>
      <c r="C229" s="89"/>
      <c r="D229" s="89"/>
      <c r="E229" s="89"/>
      <c r="F229" s="89"/>
      <c r="G229" s="89"/>
      <c r="H229" s="89"/>
      <c r="I229" s="89"/>
      <c r="J229" s="90"/>
      <c r="K229" s="90" t="s">
        <v>112301</v>
      </c>
      <c r="L229" s="91" t="s">
        <v>113133</v>
      </c>
      <c r="M229" s="92" t="s">
        <v>113134</v>
      </c>
      <c r="N229" s="93">
        <v>45031</v>
      </c>
      <c r="O229" s="93" t="s">
        <v>113087</v>
      </c>
      <c r="P229" s="132" t="s">
        <v>113068</v>
      </c>
      <c r="Q229" s="94" t="s">
        <v>113069</v>
      </c>
      <c r="R229" s="95">
        <v>435120000</v>
      </c>
      <c r="S229" s="186"/>
      <c r="T229" s="184"/>
      <c r="U229" s="98" t="s">
        <v>113000</v>
      </c>
    </row>
    <row r="230" spans="2:21" ht="45" x14ac:dyDescent="0.2">
      <c r="B230" s="88"/>
      <c r="C230" s="89"/>
      <c r="D230" s="89"/>
      <c r="E230" s="89"/>
      <c r="F230" s="89"/>
      <c r="G230" s="89"/>
      <c r="H230" s="89"/>
      <c r="I230" s="89"/>
      <c r="J230" s="90"/>
      <c r="K230" s="90" t="s">
        <v>112301</v>
      </c>
      <c r="L230" s="91">
        <v>72154100</v>
      </c>
      <c r="M230" s="92" t="s">
        <v>113135</v>
      </c>
      <c r="N230" s="93">
        <v>45031</v>
      </c>
      <c r="O230" s="93" t="s">
        <v>113087</v>
      </c>
      <c r="P230" s="132" t="s">
        <v>113068</v>
      </c>
      <c r="Q230" s="94" t="s">
        <v>113069</v>
      </c>
      <c r="R230" s="95">
        <v>495300000</v>
      </c>
      <c r="S230" s="96"/>
      <c r="T230" s="144"/>
      <c r="U230" s="98" t="s">
        <v>113000</v>
      </c>
    </row>
    <row r="231" spans="2:21" x14ac:dyDescent="0.2">
      <c r="B231" s="88"/>
      <c r="C231" s="89"/>
      <c r="D231" s="89"/>
      <c r="E231" s="89"/>
      <c r="F231" s="89"/>
      <c r="G231" s="89"/>
      <c r="H231" s="89"/>
      <c r="I231" s="89"/>
      <c r="J231" s="90"/>
      <c r="K231" s="90" t="s">
        <v>112301</v>
      </c>
      <c r="L231" s="91"/>
      <c r="M231" s="92"/>
      <c r="N231" s="93"/>
      <c r="O231" s="93"/>
      <c r="P231" s="94"/>
      <c r="Q231" s="93"/>
      <c r="R231" s="95"/>
      <c r="S231" s="96"/>
      <c r="T231" s="187"/>
      <c r="U231" s="98"/>
    </row>
    <row r="232" spans="2:21" x14ac:dyDescent="0.2">
      <c r="B232" s="88"/>
      <c r="C232" s="89"/>
      <c r="D232" s="89"/>
      <c r="E232" s="89"/>
      <c r="F232" s="89"/>
      <c r="G232" s="89"/>
      <c r="H232" s="89"/>
      <c r="I232" s="89"/>
      <c r="J232" s="90"/>
      <c r="K232" s="90" t="s">
        <v>112301</v>
      </c>
      <c r="L232" s="91"/>
      <c r="M232" s="92"/>
      <c r="N232" s="93"/>
      <c r="O232" s="93"/>
      <c r="P232" s="94"/>
      <c r="Q232" s="93"/>
      <c r="R232" s="95"/>
      <c r="S232" s="96"/>
      <c r="T232" s="187"/>
      <c r="U232" s="98"/>
    </row>
    <row r="233" spans="2:21" x14ac:dyDescent="0.2">
      <c r="B233" s="88"/>
      <c r="C233" s="89"/>
      <c r="D233" s="89"/>
      <c r="E233" s="89"/>
      <c r="F233" s="89"/>
      <c r="G233" s="89"/>
      <c r="H233" s="89"/>
      <c r="I233" s="89"/>
      <c r="J233" s="90"/>
      <c r="K233" s="90" t="s">
        <v>112301</v>
      </c>
      <c r="L233" s="91"/>
      <c r="M233" s="92"/>
      <c r="N233" s="93"/>
      <c r="O233" s="93"/>
      <c r="P233" s="94"/>
      <c r="Q233" s="93"/>
      <c r="R233" s="95"/>
      <c r="S233" s="96"/>
      <c r="T233" s="97"/>
      <c r="U233" s="98"/>
    </row>
    <row r="234" spans="2:21" x14ac:dyDescent="0.2">
      <c r="B234" s="80" t="s">
        <v>105516</v>
      </c>
      <c r="C234" s="80" t="s">
        <v>105924</v>
      </c>
      <c r="D234" s="80" t="s">
        <v>105520</v>
      </c>
      <c r="E234" s="80" t="s">
        <v>105573</v>
      </c>
      <c r="F234" s="80" t="s">
        <v>105544</v>
      </c>
      <c r="G234" s="80" t="s">
        <v>105541</v>
      </c>
      <c r="H234" s="80" t="s">
        <v>106100</v>
      </c>
      <c r="I234" s="80"/>
      <c r="J234" s="80"/>
      <c r="K234" s="80"/>
      <c r="L234" s="80"/>
      <c r="M234" s="82" t="s">
        <v>106813</v>
      </c>
      <c r="N234" s="83"/>
      <c r="O234" s="83"/>
      <c r="P234" s="84"/>
      <c r="Q234" s="84"/>
      <c r="R234" s="85">
        <v>126200000</v>
      </c>
      <c r="S234" s="86"/>
      <c r="T234" s="86"/>
      <c r="U234" s="101"/>
    </row>
    <row r="235" spans="2:21" x14ac:dyDescent="0.2">
      <c r="B235" s="88"/>
      <c r="C235" s="89"/>
      <c r="D235" s="89"/>
      <c r="E235" s="89"/>
      <c r="F235" s="89"/>
      <c r="G235" s="89"/>
      <c r="H235" s="89"/>
      <c r="I235" s="89"/>
      <c r="J235" s="90"/>
      <c r="K235" s="90" t="s">
        <v>112301</v>
      </c>
      <c r="L235" s="55"/>
      <c r="M235" s="102"/>
      <c r="N235" s="93"/>
      <c r="O235" s="93"/>
      <c r="P235" s="94"/>
      <c r="Q235" s="94"/>
      <c r="R235" s="95"/>
      <c r="S235" s="96"/>
      <c r="T235" s="187"/>
      <c r="U235" s="98"/>
    </row>
    <row r="236" spans="2:21" x14ac:dyDescent="0.2">
      <c r="B236" s="88"/>
      <c r="C236" s="89"/>
      <c r="D236" s="89"/>
      <c r="E236" s="89"/>
      <c r="F236" s="89"/>
      <c r="G236" s="89"/>
      <c r="H236" s="89"/>
      <c r="I236" s="89"/>
      <c r="J236" s="90"/>
      <c r="K236" s="90" t="s">
        <v>112301</v>
      </c>
      <c r="L236" s="91"/>
      <c r="M236" s="92"/>
      <c r="N236" s="93"/>
      <c r="O236" s="93"/>
      <c r="P236" s="94"/>
      <c r="Q236" s="94"/>
      <c r="R236" s="95"/>
      <c r="S236" s="96"/>
      <c r="T236" s="187"/>
      <c r="U236" s="98"/>
    </row>
    <row r="237" spans="2:21" x14ac:dyDescent="0.2">
      <c r="B237" s="80" t="s">
        <v>105516</v>
      </c>
      <c r="C237" s="80" t="s">
        <v>105924</v>
      </c>
      <c r="D237" s="80" t="s">
        <v>105520</v>
      </c>
      <c r="E237" s="80" t="s">
        <v>105573</v>
      </c>
      <c r="F237" s="80" t="s">
        <v>105544</v>
      </c>
      <c r="G237" s="80" t="s">
        <v>105541</v>
      </c>
      <c r="H237" s="80" t="s">
        <v>106103</v>
      </c>
      <c r="I237" s="80"/>
      <c r="J237" s="80"/>
      <c r="K237" s="80"/>
      <c r="L237" s="80"/>
      <c r="M237" s="82" t="s">
        <v>106815</v>
      </c>
      <c r="N237" s="83"/>
      <c r="O237" s="83"/>
      <c r="P237" s="84"/>
      <c r="Q237" s="84"/>
      <c r="R237" s="85">
        <v>1408502000</v>
      </c>
      <c r="S237" s="86"/>
      <c r="T237" s="86"/>
      <c r="U237" s="101"/>
    </row>
    <row r="238" spans="2:21" x14ac:dyDescent="0.2">
      <c r="B238" s="88"/>
      <c r="C238" s="89"/>
      <c r="D238" s="89"/>
      <c r="E238" s="89"/>
      <c r="F238" s="89"/>
      <c r="G238" s="89"/>
      <c r="H238" s="89"/>
      <c r="I238" s="89"/>
      <c r="J238" s="90"/>
      <c r="K238" s="90" t="s">
        <v>112301</v>
      </c>
      <c r="L238" s="55"/>
      <c r="M238" s="102"/>
      <c r="N238" s="93"/>
      <c r="O238" s="93"/>
      <c r="P238" s="94"/>
      <c r="Q238" s="94"/>
      <c r="R238" s="95"/>
      <c r="S238" s="96"/>
      <c r="T238" s="187"/>
      <c r="U238" s="98"/>
    </row>
    <row r="239" spans="2:21" x14ac:dyDescent="0.2">
      <c r="B239" s="88"/>
      <c r="C239" s="89"/>
      <c r="D239" s="89"/>
      <c r="E239" s="89"/>
      <c r="F239" s="89"/>
      <c r="G239" s="89"/>
      <c r="H239" s="89"/>
      <c r="I239" s="89"/>
      <c r="J239" s="90"/>
      <c r="K239" s="90" t="s">
        <v>112301</v>
      </c>
      <c r="L239" s="55"/>
      <c r="M239" s="102"/>
      <c r="N239" s="93"/>
      <c r="O239" s="93"/>
      <c r="P239" s="94"/>
      <c r="Q239" s="94"/>
      <c r="R239" s="95"/>
      <c r="S239" s="96"/>
      <c r="T239" s="187"/>
      <c r="U239" s="98"/>
    </row>
    <row r="240" spans="2:21" x14ac:dyDescent="0.2">
      <c r="B240" s="88"/>
      <c r="C240" s="89"/>
      <c r="D240" s="89"/>
      <c r="E240" s="89"/>
      <c r="F240" s="89"/>
      <c r="G240" s="89"/>
      <c r="H240" s="89"/>
      <c r="I240" s="89"/>
      <c r="J240" s="90"/>
      <c r="K240" s="90" t="s">
        <v>112301</v>
      </c>
      <c r="L240" s="55"/>
      <c r="M240" s="102"/>
      <c r="N240" s="93"/>
      <c r="O240" s="93"/>
      <c r="P240" s="94"/>
      <c r="Q240" s="94"/>
      <c r="R240" s="95"/>
      <c r="S240" s="96"/>
      <c r="T240" s="187"/>
      <c r="U240" s="98"/>
    </row>
    <row r="241" spans="2:21" x14ac:dyDescent="0.2">
      <c r="B241" s="88"/>
      <c r="C241" s="89"/>
      <c r="D241" s="89"/>
      <c r="E241" s="89"/>
      <c r="F241" s="89"/>
      <c r="G241" s="89"/>
      <c r="H241" s="89"/>
      <c r="I241" s="89"/>
      <c r="J241" s="90"/>
      <c r="K241" s="90" t="s">
        <v>112301</v>
      </c>
      <c r="L241" s="91"/>
      <c r="M241" s="102"/>
      <c r="N241" s="93"/>
      <c r="O241" s="93"/>
      <c r="P241" s="94"/>
      <c r="Q241" s="94"/>
      <c r="R241" s="95"/>
      <c r="S241" s="96"/>
      <c r="T241" s="187"/>
      <c r="U241" s="98"/>
    </row>
    <row r="242" spans="2:21" ht="45" x14ac:dyDescent="0.2">
      <c r="B242" s="188" t="s">
        <v>105516</v>
      </c>
      <c r="C242" s="188" t="s">
        <v>105924</v>
      </c>
      <c r="D242" s="188" t="s">
        <v>105520</v>
      </c>
      <c r="E242" s="188" t="s">
        <v>105573</v>
      </c>
      <c r="F242" s="188" t="s">
        <v>105547</v>
      </c>
      <c r="G242" s="188"/>
      <c r="H242" s="188"/>
      <c r="I242" s="188"/>
      <c r="J242" s="188"/>
      <c r="K242" s="189"/>
      <c r="L242" s="65"/>
      <c r="M242" s="66" t="s">
        <v>112320</v>
      </c>
      <c r="N242" s="67"/>
      <c r="O242" s="190"/>
      <c r="P242" s="68"/>
      <c r="Q242" s="68"/>
      <c r="R242" s="69">
        <v>23100000</v>
      </c>
      <c r="S242" s="70"/>
      <c r="T242" s="70"/>
      <c r="U242" s="71"/>
    </row>
    <row r="243" spans="2:21" x14ac:dyDescent="0.2">
      <c r="B243" s="191" t="s">
        <v>105516</v>
      </c>
      <c r="C243" s="191" t="s">
        <v>105924</v>
      </c>
      <c r="D243" s="191" t="s">
        <v>105520</v>
      </c>
      <c r="E243" s="191" t="s">
        <v>105573</v>
      </c>
      <c r="F243" s="191" t="s">
        <v>105547</v>
      </c>
      <c r="G243" s="191" t="s">
        <v>105550</v>
      </c>
      <c r="H243" s="191"/>
      <c r="I243" s="191"/>
      <c r="J243" s="191"/>
      <c r="K243" s="192"/>
      <c r="L243" s="171"/>
      <c r="M243" s="172" t="s">
        <v>106841</v>
      </c>
      <c r="N243" s="173"/>
      <c r="O243" s="173"/>
      <c r="P243" s="174"/>
      <c r="Q243" s="174"/>
      <c r="R243" s="175">
        <v>23100000</v>
      </c>
      <c r="S243" s="176"/>
      <c r="T243" s="176"/>
      <c r="U243" s="177"/>
    </row>
    <row r="244" spans="2:21" x14ac:dyDescent="0.2">
      <c r="B244" s="81" t="s">
        <v>105516</v>
      </c>
      <c r="C244" s="81" t="s">
        <v>105924</v>
      </c>
      <c r="D244" s="81" t="s">
        <v>105520</v>
      </c>
      <c r="E244" s="81" t="s">
        <v>105573</v>
      </c>
      <c r="F244" s="81" t="s">
        <v>105547</v>
      </c>
      <c r="G244" s="81" t="s">
        <v>105550</v>
      </c>
      <c r="H244" s="81" t="s">
        <v>105520</v>
      </c>
      <c r="I244" s="81"/>
      <c r="J244" s="81"/>
      <c r="K244" s="81"/>
      <c r="L244" s="80"/>
      <c r="M244" s="82" t="s">
        <v>106843</v>
      </c>
      <c r="N244" s="83"/>
      <c r="O244" s="83"/>
      <c r="P244" s="84"/>
      <c r="Q244" s="84"/>
      <c r="R244" s="85">
        <v>23100000</v>
      </c>
      <c r="S244" s="86"/>
      <c r="T244" s="86"/>
      <c r="U244" s="87"/>
    </row>
    <row r="245" spans="2:21" x14ac:dyDescent="0.2">
      <c r="B245" s="88"/>
      <c r="C245" s="89"/>
      <c r="D245" s="89"/>
      <c r="E245" s="89"/>
      <c r="F245" s="89"/>
      <c r="G245" s="89"/>
      <c r="H245" s="89"/>
      <c r="I245" s="89"/>
      <c r="J245" s="90"/>
      <c r="K245" s="90" t="s">
        <v>112476</v>
      </c>
      <c r="L245" s="55"/>
      <c r="M245" s="102"/>
      <c r="N245" s="93"/>
      <c r="O245" s="93"/>
      <c r="P245" s="94"/>
      <c r="Q245" s="94"/>
      <c r="R245" s="95"/>
      <c r="S245" s="133"/>
      <c r="T245" s="193"/>
      <c r="U245" s="98"/>
    </row>
    <row r="246" spans="2:21" ht="30" x14ac:dyDescent="0.2">
      <c r="B246" s="63" t="s">
        <v>105516</v>
      </c>
      <c r="C246" s="63" t="s">
        <v>105924</v>
      </c>
      <c r="D246" s="63" t="s">
        <v>105520</v>
      </c>
      <c r="E246" s="63" t="s">
        <v>105573</v>
      </c>
      <c r="F246" s="63" t="s">
        <v>105550</v>
      </c>
      <c r="G246" s="63"/>
      <c r="H246" s="63"/>
      <c r="I246" s="63"/>
      <c r="J246" s="63"/>
      <c r="K246" s="64"/>
      <c r="L246" s="65"/>
      <c r="M246" s="66" t="s">
        <v>106865</v>
      </c>
      <c r="N246" s="67"/>
      <c r="O246" s="190"/>
      <c r="P246" s="68"/>
      <c r="Q246" s="68"/>
      <c r="R246" s="69">
        <v>174760000</v>
      </c>
      <c r="S246" s="70"/>
      <c r="T246" s="70"/>
      <c r="U246" s="71"/>
    </row>
    <row r="247" spans="2:21" x14ac:dyDescent="0.2">
      <c r="B247" s="170" t="s">
        <v>105516</v>
      </c>
      <c r="C247" s="170" t="s">
        <v>105924</v>
      </c>
      <c r="D247" s="170" t="s">
        <v>105520</v>
      </c>
      <c r="E247" s="170" t="s">
        <v>105573</v>
      </c>
      <c r="F247" s="170" t="s">
        <v>105550</v>
      </c>
      <c r="G247" s="191" t="s">
        <v>105528</v>
      </c>
      <c r="H247" s="170"/>
      <c r="I247" s="170"/>
      <c r="J247" s="170"/>
      <c r="K247" s="171"/>
      <c r="L247" s="171"/>
      <c r="M247" s="172" t="s">
        <v>106867</v>
      </c>
      <c r="N247" s="173"/>
      <c r="O247" s="173"/>
      <c r="P247" s="174"/>
      <c r="Q247" s="174"/>
      <c r="R247" s="175">
        <v>65000000</v>
      </c>
      <c r="S247" s="176"/>
      <c r="T247" s="176"/>
      <c r="U247" s="177"/>
    </row>
    <row r="248" spans="2:21" ht="30" x14ac:dyDescent="0.2">
      <c r="B248" s="81" t="s">
        <v>105516</v>
      </c>
      <c r="C248" s="81" t="s">
        <v>105924</v>
      </c>
      <c r="D248" s="81" t="s">
        <v>105520</v>
      </c>
      <c r="E248" s="81" t="s">
        <v>105573</v>
      </c>
      <c r="F248" s="81" t="s">
        <v>105550</v>
      </c>
      <c r="G248" s="81" t="s">
        <v>105528</v>
      </c>
      <c r="H248" s="81" t="s">
        <v>105675</v>
      </c>
      <c r="I248" s="81"/>
      <c r="J248" s="81"/>
      <c r="K248" s="81"/>
      <c r="L248" s="80"/>
      <c r="M248" s="82" t="s">
        <v>106882</v>
      </c>
      <c r="N248" s="83"/>
      <c r="O248" s="83"/>
      <c r="P248" s="84"/>
      <c r="Q248" s="84"/>
      <c r="R248" s="85">
        <v>65000000</v>
      </c>
      <c r="S248" s="86"/>
      <c r="T248" s="86"/>
      <c r="U248" s="87"/>
    </row>
    <row r="249" spans="2:21" x14ac:dyDescent="0.2">
      <c r="B249" s="81" t="s">
        <v>105516</v>
      </c>
      <c r="C249" s="81" t="s">
        <v>105924</v>
      </c>
      <c r="D249" s="81" t="s">
        <v>105520</v>
      </c>
      <c r="E249" s="81" t="s">
        <v>105573</v>
      </c>
      <c r="F249" s="81" t="s">
        <v>105550</v>
      </c>
      <c r="G249" s="81" t="s">
        <v>105528</v>
      </c>
      <c r="H249" s="81" t="s">
        <v>105675</v>
      </c>
      <c r="I249" s="81" t="s">
        <v>106211</v>
      </c>
      <c r="J249" s="81"/>
      <c r="K249" s="81"/>
      <c r="L249" s="80"/>
      <c r="M249" s="82" t="s">
        <v>113142</v>
      </c>
      <c r="N249" s="83"/>
      <c r="O249" s="83"/>
      <c r="P249" s="84"/>
      <c r="Q249" s="84"/>
      <c r="R249" s="85">
        <v>65000000</v>
      </c>
      <c r="S249" s="86"/>
      <c r="T249" s="86"/>
      <c r="U249" s="87"/>
    </row>
    <row r="250" spans="2:21" x14ac:dyDescent="0.2">
      <c r="B250" s="194"/>
      <c r="C250" s="195"/>
      <c r="D250" s="195"/>
      <c r="E250" s="195"/>
      <c r="F250" s="195"/>
      <c r="G250" s="195"/>
      <c r="H250" s="195"/>
      <c r="I250" s="195"/>
      <c r="J250" s="196"/>
      <c r="K250" s="90" t="s">
        <v>112489</v>
      </c>
      <c r="L250" s="55"/>
      <c r="M250" s="102"/>
      <c r="N250" s="93"/>
      <c r="O250" s="93"/>
      <c r="P250" s="93"/>
      <c r="Q250" s="93"/>
      <c r="R250" s="95"/>
      <c r="S250" s="96"/>
      <c r="T250" s="97"/>
      <c r="U250" s="98"/>
    </row>
    <row r="251" spans="2:21" x14ac:dyDescent="0.2">
      <c r="B251" s="170" t="s">
        <v>105516</v>
      </c>
      <c r="C251" s="170" t="s">
        <v>105924</v>
      </c>
      <c r="D251" s="170" t="s">
        <v>105520</v>
      </c>
      <c r="E251" s="170" t="s">
        <v>105573</v>
      </c>
      <c r="F251" s="170" t="s">
        <v>105550</v>
      </c>
      <c r="G251" s="170" t="s">
        <v>105535</v>
      </c>
      <c r="H251" s="170"/>
      <c r="I251" s="170"/>
      <c r="J251" s="170"/>
      <c r="K251" s="171"/>
      <c r="L251" s="171"/>
      <c r="M251" s="172" t="s">
        <v>106948</v>
      </c>
      <c r="N251" s="173"/>
      <c r="O251" s="173"/>
      <c r="P251" s="174"/>
      <c r="Q251" s="174"/>
      <c r="R251" s="175">
        <v>109760000</v>
      </c>
      <c r="S251" s="176"/>
      <c r="T251" s="176"/>
      <c r="U251" s="177"/>
    </row>
    <row r="252" spans="2:21" x14ac:dyDescent="0.2">
      <c r="B252" s="81" t="s">
        <v>105516</v>
      </c>
      <c r="C252" s="81" t="s">
        <v>105924</v>
      </c>
      <c r="D252" s="81" t="s">
        <v>105520</v>
      </c>
      <c r="E252" s="81" t="s">
        <v>105573</v>
      </c>
      <c r="F252" s="81" t="s">
        <v>105550</v>
      </c>
      <c r="G252" s="81" t="s">
        <v>105535</v>
      </c>
      <c r="H252" s="81" t="s">
        <v>105520</v>
      </c>
      <c r="I252" s="80"/>
      <c r="J252" s="80"/>
      <c r="K252" s="80"/>
      <c r="L252" s="80"/>
      <c r="M252" s="82" t="s">
        <v>106958</v>
      </c>
      <c r="N252" s="83"/>
      <c r="O252" s="83"/>
      <c r="P252" s="84"/>
      <c r="Q252" s="84"/>
      <c r="R252" s="85">
        <v>109760000</v>
      </c>
      <c r="S252" s="86"/>
      <c r="T252" s="86"/>
      <c r="U252" s="101"/>
    </row>
    <row r="253" spans="2:21" ht="30" x14ac:dyDescent="0.2">
      <c r="B253" s="81" t="s">
        <v>105516</v>
      </c>
      <c r="C253" s="81" t="s">
        <v>105924</v>
      </c>
      <c r="D253" s="81" t="s">
        <v>105520</v>
      </c>
      <c r="E253" s="81" t="s">
        <v>105573</v>
      </c>
      <c r="F253" s="81" t="s">
        <v>105550</v>
      </c>
      <c r="G253" s="81" t="s">
        <v>105535</v>
      </c>
      <c r="H253" s="80" t="s">
        <v>105520</v>
      </c>
      <c r="I253" s="80" t="s">
        <v>105576</v>
      </c>
      <c r="J253" s="80"/>
      <c r="K253" s="80"/>
      <c r="L253" s="80"/>
      <c r="M253" s="82" t="s">
        <v>106960</v>
      </c>
      <c r="N253" s="83"/>
      <c r="O253" s="83"/>
      <c r="P253" s="84"/>
      <c r="Q253" s="84"/>
      <c r="R253" s="85">
        <v>109760000</v>
      </c>
      <c r="S253" s="86"/>
      <c r="T253" s="86"/>
      <c r="U253" s="101"/>
    </row>
    <row r="254" spans="2:21" x14ac:dyDescent="0.2">
      <c r="B254" s="194"/>
      <c r="C254" s="195"/>
      <c r="D254" s="195"/>
      <c r="E254" s="195"/>
      <c r="F254" s="195"/>
      <c r="G254" s="195"/>
      <c r="H254" s="195"/>
      <c r="I254" s="195"/>
      <c r="J254" s="196"/>
      <c r="K254" s="90" t="s">
        <v>112528</v>
      </c>
      <c r="L254" s="128"/>
      <c r="M254" s="92"/>
      <c r="N254" s="93"/>
      <c r="O254" s="93"/>
      <c r="P254" s="132"/>
      <c r="Q254" s="93"/>
      <c r="R254" s="95"/>
      <c r="S254" s="96"/>
      <c r="T254" s="97"/>
      <c r="U254" s="98"/>
    </row>
    <row r="255" spans="2:21" ht="30" x14ac:dyDescent="0.2">
      <c r="B255" s="63" t="s">
        <v>105516</v>
      </c>
      <c r="C255" s="63" t="s">
        <v>105924</v>
      </c>
      <c r="D255" s="63" t="s">
        <v>105520</v>
      </c>
      <c r="E255" s="63" t="s">
        <v>105573</v>
      </c>
      <c r="F255" s="63" t="s">
        <v>105553</v>
      </c>
      <c r="G255" s="63"/>
      <c r="H255" s="63"/>
      <c r="I255" s="63"/>
      <c r="J255" s="63"/>
      <c r="K255" s="64"/>
      <c r="L255" s="65"/>
      <c r="M255" s="66" t="s">
        <v>106978</v>
      </c>
      <c r="N255" s="67"/>
      <c r="O255" s="67"/>
      <c r="P255" s="68"/>
      <c r="Q255" s="68"/>
      <c r="R255" s="69">
        <v>2470629879</v>
      </c>
      <c r="S255" s="70"/>
      <c r="T255" s="70"/>
      <c r="U255" s="71"/>
    </row>
    <row r="256" spans="2:21" x14ac:dyDescent="0.2">
      <c r="B256" s="170" t="s">
        <v>105516</v>
      </c>
      <c r="C256" s="170" t="s">
        <v>105924</v>
      </c>
      <c r="D256" s="170" t="s">
        <v>105520</v>
      </c>
      <c r="E256" s="170" t="s">
        <v>105573</v>
      </c>
      <c r="F256" s="170" t="s">
        <v>105553</v>
      </c>
      <c r="G256" s="170" t="s">
        <v>105538</v>
      </c>
      <c r="H256" s="170"/>
      <c r="I256" s="170"/>
      <c r="J256" s="170"/>
      <c r="K256" s="171"/>
      <c r="L256" s="171"/>
      <c r="M256" s="172" t="s">
        <v>106998</v>
      </c>
      <c r="N256" s="173"/>
      <c r="O256" s="173"/>
      <c r="P256" s="174"/>
      <c r="Q256" s="174"/>
      <c r="R256" s="175">
        <v>242208000</v>
      </c>
      <c r="S256" s="176"/>
      <c r="T256" s="176"/>
      <c r="U256" s="177"/>
    </row>
    <row r="257" spans="2:21" ht="30" x14ac:dyDescent="0.2">
      <c r="B257" s="80" t="s">
        <v>105516</v>
      </c>
      <c r="C257" s="80" t="s">
        <v>105924</v>
      </c>
      <c r="D257" s="80" t="s">
        <v>105520</v>
      </c>
      <c r="E257" s="80" t="s">
        <v>105573</v>
      </c>
      <c r="F257" s="80" t="s">
        <v>105553</v>
      </c>
      <c r="G257" s="80" t="s">
        <v>105538</v>
      </c>
      <c r="H257" s="80" t="s">
        <v>105520</v>
      </c>
      <c r="I257" s="80"/>
      <c r="J257" s="80"/>
      <c r="K257" s="80"/>
      <c r="L257" s="80"/>
      <c r="M257" s="82" t="s">
        <v>107000</v>
      </c>
      <c r="N257" s="83"/>
      <c r="O257" s="83"/>
      <c r="P257" s="84"/>
      <c r="Q257" s="84"/>
      <c r="R257" s="85">
        <v>242208000</v>
      </c>
      <c r="S257" s="86"/>
      <c r="T257" s="86"/>
      <c r="U257" s="101"/>
    </row>
    <row r="258" spans="2:21" ht="30" x14ac:dyDescent="0.2">
      <c r="B258" s="80" t="s">
        <v>105516</v>
      </c>
      <c r="C258" s="80" t="s">
        <v>105924</v>
      </c>
      <c r="D258" s="80" t="s">
        <v>105520</v>
      </c>
      <c r="E258" s="80" t="s">
        <v>105573</v>
      </c>
      <c r="F258" s="80" t="s">
        <v>105553</v>
      </c>
      <c r="G258" s="80" t="s">
        <v>105538</v>
      </c>
      <c r="H258" s="80" t="s">
        <v>105520</v>
      </c>
      <c r="I258" s="80" t="s">
        <v>105576</v>
      </c>
      <c r="J258" s="80"/>
      <c r="K258" s="80"/>
      <c r="L258" s="80"/>
      <c r="M258" s="82" t="s">
        <v>107002</v>
      </c>
      <c r="N258" s="83"/>
      <c r="O258" s="83"/>
      <c r="P258" s="84"/>
      <c r="Q258" s="84"/>
      <c r="R258" s="85">
        <v>242208000</v>
      </c>
      <c r="S258" s="86"/>
      <c r="T258" s="86"/>
      <c r="U258" s="101"/>
    </row>
    <row r="259" spans="2:21" x14ac:dyDescent="0.2">
      <c r="B259" s="88"/>
      <c r="C259" s="89"/>
      <c r="D259" s="89"/>
      <c r="E259" s="89"/>
      <c r="F259" s="89"/>
      <c r="G259" s="89"/>
      <c r="H259" s="89"/>
      <c r="I259" s="89"/>
      <c r="J259" s="90"/>
      <c r="K259" s="90" t="s">
        <v>112567</v>
      </c>
      <c r="L259" s="91"/>
      <c r="M259" s="102"/>
      <c r="N259" s="93"/>
      <c r="O259" s="93"/>
      <c r="P259" s="94"/>
      <c r="Q259" s="94"/>
      <c r="R259" s="95"/>
      <c r="S259" s="96"/>
      <c r="T259" s="97"/>
      <c r="U259" s="98"/>
    </row>
    <row r="260" spans="2:21" x14ac:dyDescent="0.2">
      <c r="B260" s="138"/>
      <c r="C260" s="139"/>
      <c r="D260" s="139"/>
      <c r="E260" s="139"/>
      <c r="F260" s="139"/>
      <c r="G260" s="139"/>
      <c r="H260" s="139"/>
      <c r="I260" s="139"/>
      <c r="J260" s="140"/>
      <c r="K260" s="140" t="s">
        <v>112567</v>
      </c>
      <c r="L260" s="91"/>
      <c r="M260" s="92"/>
      <c r="N260" s="93"/>
      <c r="O260" s="93"/>
      <c r="P260" s="94"/>
      <c r="Q260" s="132"/>
      <c r="R260" s="95"/>
      <c r="S260" s="96"/>
      <c r="T260" s="97"/>
      <c r="U260" s="98"/>
    </row>
    <row r="261" spans="2:21" x14ac:dyDescent="0.2">
      <c r="B261" s="138"/>
      <c r="C261" s="139"/>
      <c r="D261" s="139"/>
      <c r="E261" s="139"/>
      <c r="F261" s="139"/>
      <c r="G261" s="139"/>
      <c r="H261" s="139"/>
      <c r="I261" s="139"/>
      <c r="J261" s="140"/>
      <c r="K261" s="140" t="s">
        <v>112567</v>
      </c>
      <c r="L261" s="55"/>
      <c r="M261" s="102"/>
      <c r="N261" s="93"/>
      <c r="O261" s="93"/>
      <c r="P261" s="94"/>
      <c r="Q261" s="94"/>
      <c r="R261" s="95"/>
      <c r="S261" s="96"/>
      <c r="T261" s="97"/>
      <c r="U261" s="98"/>
    </row>
    <row r="262" spans="2:21" x14ac:dyDescent="0.2">
      <c r="B262" s="138"/>
      <c r="C262" s="139"/>
      <c r="D262" s="139"/>
      <c r="E262" s="139"/>
      <c r="F262" s="139"/>
      <c r="G262" s="139"/>
      <c r="H262" s="139"/>
      <c r="I262" s="139"/>
      <c r="J262" s="140"/>
      <c r="K262" s="140" t="s">
        <v>112567</v>
      </c>
      <c r="L262" s="55"/>
      <c r="M262" s="102"/>
      <c r="N262" s="93"/>
      <c r="O262" s="93"/>
      <c r="P262" s="94"/>
      <c r="Q262" s="94"/>
      <c r="R262" s="95"/>
      <c r="S262" s="96"/>
      <c r="T262" s="97"/>
      <c r="U262" s="98"/>
    </row>
    <row r="263" spans="2:21" s="203" customFormat="1" x14ac:dyDescent="0.2">
      <c r="B263" s="197"/>
      <c r="C263" s="198"/>
      <c r="D263" s="198"/>
      <c r="E263" s="198"/>
      <c r="F263" s="198"/>
      <c r="G263" s="198"/>
      <c r="H263" s="198"/>
      <c r="I263" s="198"/>
      <c r="J263" s="199"/>
      <c r="K263" s="199" t="s">
        <v>112567</v>
      </c>
      <c r="L263" s="181"/>
      <c r="M263" s="102"/>
      <c r="N263" s="93"/>
      <c r="O263" s="93"/>
      <c r="P263" s="94"/>
      <c r="Q263" s="94"/>
      <c r="R263" s="95"/>
      <c r="S263" s="200"/>
      <c r="T263" s="201"/>
      <c r="U263" s="202"/>
    </row>
    <row r="264" spans="2:21" x14ac:dyDescent="0.2">
      <c r="B264" s="138"/>
      <c r="C264" s="139"/>
      <c r="D264" s="139"/>
      <c r="E264" s="139"/>
      <c r="F264" s="139"/>
      <c r="G264" s="139"/>
      <c r="H264" s="139"/>
      <c r="I264" s="139"/>
      <c r="J264" s="140"/>
      <c r="K264" s="140" t="s">
        <v>112567</v>
      </c>
      <c r="L264" s="55"/>
      <c r="M264" s="92"/>
      <c r="N264" s="93"/>
      <c r="O264" s="93"/>
      <c r="P264" s="94"/>
      <c r="Q264" s="94"/>
      <c r="R264" s="95"/>
      <c r="S264" s="96"/>
      <c r="T264" s="97"/>
      <c r="U264" s="98"/>
    </row>
    <row r="265" spans="2:21" x14ac:dyDescent="0.2">
      <c r="B265" s="170" t="s">
        <v>105516</v>
      </c>
      <c r="C265" s="170" t="s">
        <v>105924</v>
      </c>
      <c r="D265" s="170" t="s">
        <v>105520</v>
      </c>
      <c r="E265" s="170" t="s">
        <v>105573</v>
      </c>
      <c r="F265" s="170" t="s">
        <v>105553</v>
      </c>
      <c r="G265" s="170" t="s">
        <v>105544</v>
      </c>
      <c r="H265" s="170"/>
      <c r="I265" s="170"/>
      <c r="J265" s="170"/>
      <c r="K265" s="171"/>
      <c r="L265" s="171"/>
      <c r="M265" s="172" t="s">
        <v>107054</v>
      </c>
      <c r="N265" s="173"/>
      <c r="O265" s="173"/>
      <c r="P265" s="174"/>
      <c r="Q265" s="174"/>
      <c r="R265" s="175">
        <v>2064296263</v>
      </c>
      <c r="S265" s="176"/>
      <c r="T265" s="176"/>
      <c r="U265" s="177"/>
    </row>
    <row r="266" spans="2:21" x14ac:dyDescent="0.2">
      <c r="B266" s="80" t="s">
        <v>105516</v>
      </c>
      <c r="C266" s="80" t="s">
        <v>105924</v>
      </c>
      <c r="D266" s="80" t="s">
        <v>105520</v>
      </c>
      <c r="E266" s="80" t="s">
        <v>105573</v>
      </c>
      <c r="F266" s="80" t="s">
        <v>105553</v>
      </c>
      <c r="G266" s="80" t="s">
        <v>105544</v>
      </c>
      <c r="H266" s="80" t="s">
        <v>105573</v>
      </c>
      <c r="I266" s="80"/>
      <c r="J266" s="80"/>
      <c r="K266" s="80"/>
      <c r="L266" s="80"/>
      <c r="M266" s="82" t="s">
        <v>113148</v>
      </c>
      <c r="N266" s="83"/>
      <c r="O266" s="83"/>
      <c r="P266" s="84"/>
      <c r="Q266" s="84"/>
      <c r="R266" s="85">
        <v>269728920</v>
      </c>
      <c r="S266" s="86"/>
      <c r="T266" s="86"/>
      <c r="U266" s="101"/>
    </row>
    <row r="267" spans="2:21" x14ac:dyDescent="0.2">
      <c r="B267" s="88"/>
      <c r="C267" s="89"/>
      <c r="D267" s="89"/>
      <c r="E267" s="89"/>
      <c r="F267" s="89"/>
      <c r="G267" s="89"/>
      <c r="H267" s="89"/>
      <c r="I267" s="89"/>
      <c r="J267" s="90"/>
      <c r="K267" s="90" t="s">
        <v>112595</v>
      </c>
      <c r="L267" s="204"/>
      <c r="M267" s="92"/>
      <c r="N267" s="93"/>
      <c r="O267" s="93"/>
      <c r="P267" s="94"/>
      <c r="Q267" s="132"/>
      <c r="R267" s="205"/>
      <c r="S267" s="186"/>
      <c r="T267" s="97"/>
      <c r="U267" s="98"/>
    </row>
    <row r="268" spans="2:21" ht="45" x14ac:dyDescent="0.2">
      <c r="B268" s="138"/>
      <c r="C268" s="139"/>
      <c r="D268" s="139"/>
      <c r="E268" s="139"/>
      <c r="F268" s="139"/>
      <c r="G268" s="139"/>
      <c r="H268" s="139"/>
      <c r="I268" s="139"/>
      <c r="J268" s="140"/>
      <c r="K268" s="140" t="s">
        <v>112595</v>
      </c>
      <c r="L268" s="204">
        <v>92121500</v>
      </c>
      <c r="M268" s="131" t="s">
        <v>113149</v>
      </c>
      <c r="N268" s="93">
        <v>45031</v>
      </c>
      <c r="O268" s="93" t="s">
        <v>113087</v>
      </c>
      <c r="P268" s="132" t="s">
        <v>113068</v>
      </c>
      <c r="Q268" s="94" t="s">
        <v>113150</v>
      </c>
      <c r="R268" s="95">
        <v>279480000</v>
      </c>
      <c r="S268" s="186"/>
      <c r="T268" s="206"/>
      <c r="U268" s="98" t="s">
        <v>113000</v>
      </c>
    </row>
    <row r="269" spans="2:21" x14ac:dyDescent="0.2">
      <c r="B269" s="80" t="s">
        <v>105516</v>
      </c>
      <c r="C269" s="80" t="s">
        <v>105924</v>
      </c>
      <c r="D269" s="80" t="s">
        <v>105520</v>
      </c>
      <c r="E269" s="80" t="s">
        <v>105573</v>
      </c>
      <c r="F269" s="80" t="s">
        <v>105553</v>
      </c>
      <c r="G269" s="80" t="s">
        <v>105544</v>
      </c>
      <c r="H269" s="80" t="s">
        <v>105675</v>
      </c>
      <c r="I269" s="80"/>
      <c r="J269" s="80"/>
      <c r="K269" s="80"/>
      <c r="L269" s="80"/>
      <c r="M269" s="82" t="s">
        <v>107060</v>
      </c>
      <c r="N269" s="83"/>
      <c r="O269" s="83" t="s">
        <v>112995</v>
      </c>
      <c r="P269" s="84"/>
      <c r="Q269" s="84"/>
      <c r="R269" s="85">
        <v>1794567343</v>
      </c>
      <c r="S269" s="86"/>
      <c r="T269" s="86"/>
      <c r="U269" s="101"/>
    </row>
    <row r="270" spans="2:21" x14ac:dyDescent="0.2">
      <c r="B270" s="88"/>
      <c r="C270" s="89"/>
      <c r="D270" s="89"/>
      <c r="E270" s="89"/>
      <c r="F270" s="89"/>
      <c r="G270" s="89"/>
      <c r="H270" s="89"/>
      <c r="I270" s="89"/>
      <c r="J270" s="90"/>
      <c r="K270" s="90" t="s">
        <v>112595</v>
      </c>
      <c r="L270" s="55"/>
      <c r="M270" s="92"/>
      <c r="N270" s="93"/>
      <c r="O270" s="93"/>
      <c r="P270" s="94"/>
      <c r="Q270" s="94"/>
      <c r="R270" s="95"/>
      <c r="S270" s="96"/>
      <c r="T270" s="97"/>
      <c r="U270" s="98"/>
    </row>
    <row r="271" spans="2:21" ht="45" x14ac:dyDescent="0.2">
      <c r="B271" s="138"/>
      <c r="C271" s="139"/>
      <c r="D271" s="139"/>
      <c r="E271" s="139"/>
      <c r="F271" s="139"/>
      <c r="G271" s="139"/>
      <c r="H271" s="139"/>
      <c r="I271" s="139"/>
      <c r="J271" s="140"/>
      <c r="K271" s="140" t="s">
        <v>112595</v>
      </c>
      <c r="L271" s="55">
        <v>76111500</v>
      </c>
      <c r="M271" s="92" t="s">
        <v>113151</v>
      </c>
      <c r="N271" s="93">
        <v>45031</v>
      </c>
      <c r="O271" s="93"/>
      <c r="P271" s="132" t="s">
        <v>113068</v>
      </c>
      <c r="Q271" s="94" t="s">
        <v>113132</v>
      </c>
      <c r="R271" s="95">
        <v>290640000</v>
      </c>
      <c r="S271" s="96"/>
      <c r="T271" s="206"/>
      <c r="U271" s="98" t="s">
        <v>113000</v>
      </c>
    </row>
    <row r="272" spans="2:21" x14ac:dyDescent="0.2">
      <c r="B272" s="138"/>
      <c r="C272" s="139"/>
      <c r="D272" s="139"/>
      <c r="E272" s="139"/>
      <c r="F272" s="139"/>
      <c r="G272" s="139"/>
      <c r="H272" s="139"/>
      <c r="I272" s="139"/>
      <c r="J272" s="140"/>
      <c r="K272" s="140" t="s">
        <v>112595</v>
      </c>
      <c r="L272" s="55"/>
      <c r="M272" s="92"/>
      <c r="N272" s="93"/>
      <c r="O272" s="93"/>
      <c r="P272" s="132"/>
      <c r="Q272" s="94"/>
      <c r="R272" s="95"/>
      <c r="S272" s="96"/>
      <c r="T272" s="206"/>
      <c r="U272" s="98"/>
    </row>
    <row r="273" spans="2:21" ht="45" x14ac:dyDescent="0.2">
      <c r="B273" s="138"/>
      <c r="C273" s="139"/>
      <c r="D273" s="139"/>
      <c r="E273" s="139"/>
      <c r="F273" s="139"/>
      <c r="G273" s="139"/>
      <c r="H273" s="139"/>
      <c r="I273" s="139"/>
      <c r="J273" s="140"/>
      <c r="K273" s="140" t="s">
        <v>112595</v>
      </c>
      <c r="L273" s="55"/>
      <c r="M273" s="92" t="s">
        <v>113152</v>
      </c>
      <c r="N273" s="93"/>
      <c r="O273" s="93" t="s">
        <v>113018</v>
      </c>
      <c r="P273" s="94"/>
      <c r="Q273" s="94"/>
      <c r="R273" s="95">
        <v>1340700000</v>
      </c>
      <c r="S273" s="96"/>
      <c r="T273" s="206"/>
      <c r="U273" s="98" t="s">
        <v>113000</v>
      </c>
    </row>
    <row r="274" spans="2:21" x14ac:dyDescent="0.2">
      <c r="B274" s="138"/>
      <c r="C274" s="139"/>
      <c r="D274" s="139"/>
      <c r="E274" s="139"/>
      <c r="F274" s="139"/>
      <c r="G274" s="139"/>
      <c r="H274" s="139"/>
      <c r="I274" s="139"/>
      <c r="J274" s="140"/>
      <c r="K274" s="140" t="s">
        <v>112595</v>
      </c>
      <c r="L274" s="55"/>
      <c r="M274" s="102"/>
      <c r="N274" s="93"/>
      <c r="O274" s="93"/>
      <c r="P274" s="94"/>
      <c r="Q274" s="94"/>
      <c r="R274" s="95"/>
      <c r="S274" s="96"/>
      <c r="T274" s="97"/>
      <c r="U274" s="98"/>
    </row>
    <row r="275" spans="2:21" x14ac:dyDescent="0.2">
      <c r="B275" s="138"/>
      <c r="C275" s="139"/>
      <c r="D275" s="139"/>
      <c r="E275" s="139"/>
      <c r="F275" s="139"/>
      <c r="G275" s="139"/>
      <c r="H275" s="139"/>
      <c r="I275" s="139"/>
      <c r="J275" s="140"/>
      <c r="K275" s="140" t="s">
        <v>112595</v>
      </c>
      <c r="L275" s="91"/>
      <c r="M275" s="102"/>
      <c r="N275" s="93"/>
      <c r="O275" s="93"/>
      <c r="P275" s="94"/>
      <c r="Q275" s="94"/>
      <c r="R275" s="95"/>
      <c r="S275" s="96"/>
      <c r="T275" s="97"/>
      <c r="U275" s="98"/>
    </row>
    <row r="276" spans="2:21" x14ac:dyDescent="0.2">
      <c r="B276" s="138"/>
      <c r="C276" s="139"/>
      <c r="D276" s="139"/>
      <c r="E276" s="139"/>
      <c r="F276" s="139"/>
      <c r="G276" s="139"/>
      <c r="H276" s="139"/>
      <c r="I276" s="139"/>
      <c r="J276" s="140"/>
      <c r="K276" s="140" t="s">
        <v>112595</v>
      </c>
      <c r="L276" s="55"/>
      <c r="M276" s="92"/>
      <c r="N276" s="93"/>
      <c r="O276" s="93"/>
      <c r="P276" s="94"/>
      <c r="Q276" s="94"/>
      <c r="R276" s="95"/>
      <c r="S276" s="96"/>
      <c r="T276" s="144"/>
      <c r="U276" s="98"/>
    </row>
    <row r="277" spans="2:21" ht="30" x14ac:dyDescent="0.2">
      <c r="B277" s="170" t="s">
        <v>105516</v>
      </c>
      <c r="C277" s="170" t="s">
        <v>105924</v>
      </c>
      <c r="D277" s="170" t="s">
        <v>105520</v>
      </c>
      <c r="E277" s="170" t="s">
        <v>105573</v>
      </c>
      <c r="F277" s="170" t="s">
        <v>105553</v>
      </c>
      <c r="G277" s="170" t="s">
        <v>105550</v>
      </c>
      <c r="H277" s="170"/>
      <c r="I277" s="170"/>
      <c r="J277" s="170"/>
      <c r="K277" s="171"/>
      <c r="L277" s="171"/>
      <c r="M277" s="172" t="s">
        <v>107092</v>
      </c>
      <c r="N277" s="173"/>
      <c r="O277" s="173" t="s">
        <v>112995</v>
      </c>
      <c r="P277" s="174"/>
      <c r="Q277" s="174"/>
      <c r="R277" s="175">
        <v>164125616</v>
      </c>
      <c r="S277" s="176"/>
      <c r="T277" s="176"/>
      <c r="U277" s="177"/>
    </row>
    <row r="278" spans="2:21" ht="30" x14ac:dyDescent="0.2">
      <c r="B278" s="80" t="s">
        <v>105516</v>
      </c>
      <c r="C278" s="80" t="s">
        <v>105924</v>
      </c>
      <c r="D278" s="80" t="s">
        <v>105520</v>
      </c>
      <c r="E278" s="80" t="s">
        <v>105573</v>
      </c>
      <c r="F278" s="80" t="s">
        <v>105553</v>
      </c>
      <c r="G278" s="80" t="s">
        <v>105550</v>
      </c>
      <c r="H278" s="80" t="s">
        <v>105520</v>
      </c>
      <c r="I278" s="80"/>
      <c r="J278" s="80"/>
      <c r="K278" s="80"/>
      <c r="L278" s="80"/>
      <c r="M278" s="82" t="s">
        <v>107094</v>
      </c>
      <c r="N278" s="83"/>
      <c r="O278" s="83" t="s">
        <v>112995</v>
      </c>
      <c r="P278" s="84"/>
      <c r="Q278" s="84"/>
      <c r="R278" s="85">
        <v>164125616</v>
      </c>
      <c r="S278" s="86"/>
      <c r="T278" s="86"/>
      <c r="U278" s="101"/>
    </row>
    <row r="279" spans="2:21" ht="30" x14ac:dyDescent="0.2">
      <c r="B279" s="80" t="s">
        <v>105516</v>
      </c>
      <c r="C279" s="80" t="s">
        <v>105924</v>
      </c>
      <c r="D279" s="80" t="s">
        <v>105520</v>
      </c>
      <c r="E279" s="80" t="s">
        <v>105573</v>
      </c>
      <c r="F279" s="80" t="s">
        <v>105553</v>
      </c>
      <c r="G279" s="80" t="s">
        <v>105550</v>
      </c>
      <c r="H279" s="80" t="s">
        <v>105520</v>
      </c>
      <c r="I279" s="80" t="s">
        <v>106217</v>
      </c>
      <c r="J279" s="80"/>
      <c r="K279" s="80"/>
      <c r="L279" s="80"/>
      <c r="M279" s="82" t="s">
        <v>107104</v>
      </c>
      <c r="N279" s="83"/>
      <c r="O279" s="83" t="s">
        <v>112995</v>
      </c>
      <c r="P279" s="84"/>
      <c r="Q279" s="84"/>
      <c r="R279" s="85">
        <v>164125616</v>
      </c>
      <c r="S279" s="86"/>
      <c r="T279" s="86"/>
      <c r="U279" s="101"/>
    </row>
    <row r="280" spans="2:21" x14ac:dyDescent="0.2">
      <c r="B280" s="88"/>
      <c r="C280" s="89"/>
      <c r="D280" s="89"/>
      <c r="E280" s="89"/>
      <c r="F280" s="89"/>
      <c r="G280" s="89"/>
      <c r="H280" s="89"/>
      <c r="I280" s="89"/>
      <c r="J280" s="90"/>
      <c r="K280" s="90" t="s">
        <v>112614</v>
      </c>
      <c r="L280" s="55"/>
      <c r="M280" s="92"/>
      <c r="N280" s="93"/>
      <c r="O280" s="93"/>
      <c r="P280" s="94"/>
      <c r="Q280" s="94"/>
      <c r="R280" s="95"/>
      <c r="S280" s="96"/>
      <c r="T280" s="97"/>
      <c r="U280" s="98"/>
    </row>
    <row r="281" spans="2:21" x14ac:dyDescent="0.2">
      <c r="B281" s="138"/>
      <c r="C281" s="139"/>
      <c r="D281" s="139"/>
      <c r="E281" s="139"/>
      <c r="F281" s="139"/>
      <c r="G281" s="139"/>
      <c r="H281" s="139"/>
      <c r="I281" s="139"/>
      <c r="J281" s="139"/>
      <c r="K281" s="139" t="s">
        <v>112614</v>
      </c>
      <c r="L281" s="207"/>
      <c r="M281" s="120"/>
      <c r="N281" s="121"/>
      <c r="O281" s="93"/>
      <c r="P281" s="94"/>
      <c r="Q281" s="132"/>
      <c r="R281" s="95"/>
      <c r="S281" s="96"/>
      <c r="T281" s="97"/>
      <c r="U281" s="98"/>
    </row>
    <row r="282" spans="2:21" ht="15.75" x14ac:dyDescent="0.2">
      <c r="B282" s="208" t="s">
        <v>105516</v>
      </c>
      <c r="C282" s="208" t="s">
        <v>106103</v>
      </c>
      <c r="D282" s="208"/>
      <c r="E282" s="208"/>
      <c r="F282" s="208"/>
      <c r="G282" s="208"/>
      <c r="H282" s="208"/>
      <c r="I282" s="208"/>
      <c r="J282" s="208"/>
      <c r="K282" s="209"/>
      <c r="L282" s="210"/>
      <c r="M282" s="211" t="s">
        <v>112750</v>
      </c>
      <c r="N282" s="212"/>
      <c r="O282" s="212" t="s">
        <v>112995</v>
      </c>
      <c r="P282" s="213"/>
      <c r="Q282" s="213"/>
      <c r="R282" s="214">
        <v>5718000000</v>
      </c>
      <c r="S282" s="215"/>
      <c r="T282" s="215"/>
      <c r="U282" s="216"/>
    </row>
    <row r="283" spans="2:21" ht="15.75" x14ac:dyDescent="0.2">
      <c r="B283" s="217" t="s">
        <v>105516</v>
      </c>
      <c r="C283" s="217" t="s">
        <v>106103</v>
      </c>
      <c r="D283" s="217" t="s">
        <v>105520</v>
      </c>
      <c r="E283" s="217"/>
      <c r="F283" s="217"/>
      <c r="G283" s="217"/>
      <c r="H283" s="217"/>
      <c r="I283" s="217"/>
      <c r="J283" s="217"/>
      <c r="K283" s="218"/>
      <c r="L283" s="218"/>
      <c r="M283" s="219" t="s">
        <v>112752</v>
      </c>
      <c r="N283" s="220"/>
      <c r="O283" s="220" t="s">
        <v>112995</v>
      </c>
      <c r="P283" s="221"/>
      <c r="Q283" s="221"/>
      <c r="R283" s="222">
        <v>111000000</v>
      </c>
      <c r="S283" s="223"/>
      <c r="T283" s="223"/>
      <c r="U283" s="224"/>
    </row>
    <row r="284" spans="2:21" ht="15.75" x14ac:dyDescent="0.2">
      <c r="B284" s="225"/>
      <c r="C284" s="226"/>
      <c r="D284" s="226"/>
      <c r="E284" s="226"/>
      <c r="F284" s="226"/>
      <c r="G284" s="226"/>
      <c r="H284" s="226"/>
      <c r="I284" s="226"/>
      <c r="J284" s="227"/>
      <c r="K284" s="90" t="s">
        <v>112751</v>
      </c>
      <c r="L284" s="228"/>
      <c r="M284" s="102"/>
      <c r="N284" s="94"/>
      <c r="O284" s="94"/>
      <c r="P284" s="94"/>
      <c r="Q284" s="94"/>
      <c r="R284" s="95"/>
      <c r="S284" s="96"/>
      <c r="T284" s="201"/>
      <c r="U284" s="202"/>
    </row>
    <row r="285" spans="2:21" ht="15.75" x14ac:dyDescent="0.2">
      <c r="B285" s="217" t="s">
        <v>105516</v>
      </c>
      <c r="C285" s="217" t="s">
        <v>106103</v>
      </c>
      <c r="D285" s="217" t="s">
        <v>105675</v>
      </c>
      <c r="E285" s="217"/>
      <c r="F285" s="217"/>
      <c r="G285" s="217"/>
      <c r="H285" s="217"/>
      <c r="I285" s="217"/>
      <c r="J285" s="217"/>
      <c r="K285" s="218"/>
      <c r="L285" s="218"/>
      <c r="M285" s="219" t="s">
        <v>112762</v>
      </c>
      <c r="N285" s="220"/>
      <c r="O285" s="220" t="s">
        <v>112995</v>
      </c>
      <c r="P285" s="221"/>
      <c r="Q285" s="221"/>
      <c r="R285" s="222">
        <v>2780000000</v>
      </c>
      <c r="S285" s="223"/>
      <c r="T285" s="223"/>
      <c r="U285" s="224"/>
    </row>
    <row r="286" spans="2:21" ht="15.75" x14ac:dyDescent="0.2">
      <c r="B286" s="225"/>
      <c r="C286" s="226"/>
      <c r="D286" s="226"/>
      <c r="E286" s="226"/>
      <c r="F286" s="226"/>
      <c r="G286" s="226"/>
      <c r="H286" s="226"/>
      <c r="I286" s="226"/>
      <c r="J286" s="227"/>
      <c r="K286" s="90" t="s">
        <v>112761</v>
      </c>
      <c r="L286" s="228"/>
      <c r="M286" s="102"/>
      <c r="N286" s="94"/>
      <c r="O286" s="94"/>
      <c r="P286" s="94"/>
      <c r="Q286" s="94"/>
      <c r="R286" s="95"/>
      <c r="S286" s="96"/>
      <c r="T286" s="201"/>
      <c r="U286" s="202"/>
    </row>
    <row r="287" spans="2:21" ht="15.75" x14ac:dyDescent="0.2">
      <c r="B287" s="229" t="s">
        <v>105516</v>
      </c>
      <c r="C287" s="229" t="s">
        <v>106106</v>
      </c>
      <c r="D287" s="229"/>
      <c r="E287" s="229"/>
      <c r="F287" s="229"/>
      <c r="G287" s="229"/>
      <c r="H287" s="229"/>
      <c r="I287" s="229"/>
      <c r="J287" s="229"/>
      <c r="K287" s="230"/>
      <c r="L287" s="231"/>
      <c r="M287" s="232" t="s">
        <v>112766</v>
      </c>
      <c r="N287" s="233"/>
      <c r="O287" s="233" t="s">
        <v>112995</v>
      </c>
      <c r="P287" s="234"/>
      <c r="Q287" s="234"/>
      <c r="R287" s="235">
        <v>4192000000</v>
      </c>
      <c r="S287" s="236"/>
      <c r="T287" s="236"/>
      <c r="U287" s="237"/>
    </row>
    <row r="288" spans="2:21" ht="15.75" x14ac:dyDescent="0.2">
      <c r="B288" s="238" t="s">
        <v>105516</v>
      </c>
      <c r="C288" s="238" t="s">
        <v>106106</v>
      </c>
      <c r="D288" s="238" t="s">
        <v>105520</v>
      </c>
      <c r="E288" s="238"/>
      <c r="F288" s="238"/>
      <c r="G288" s="238"/>
      <c r="H288" s="238"/>
      <c r="I288" s="238"/>
      <c r="J288" s="238"/>
      <c r="K288" s="239"/>
      <c r="L288" s="239"/>
      <c r="M288" s="240" t="s">
        <v>112768</v>
      </c>
      <c r="N288" s="241"/>
      <c r="O288" s="241" t="s">
        <v>112995</v>
      </c>
      <c r="P288" s="242"/>
      <c r="Q288" s="242"/>
      <c r="R288" s="243">
        <v>3753000000</v>
      </c>
      <c r="S288" s="244"/>
      <c r="T288" s="244"/>
      <c r="U288" s="245"/>
    </row>
    <row r="289" spans="2:21" x14ac:dyDescent="0.2">
      <c r="B289" s="246" t="s">
        <v>105516</v>
      </c>
      <c r="C289" s="246" t="s">
        <v>106106</v>
      </c>
      <c r="D289" s="246" t="s">
        <v>105520</v>
      </c>
      <c r="E289" s="246" t="s">
        <v>105573</v>
      </c>
      <c r="F289" s="246"/>
      <c r="G289" s="246"/>
      <c r="H289" s="246"/>
      <c r="I289" s="246"/>
      <c r="J289" s="246"/>
      <c r="K289" s="247"/>
      <c r="L289" s="247"/>
      <c r="M289" s="248" t="s">
        <v>112780</v>
      </c>
      <c r="N289" s="249"/>
      <c r="O289" s="249" t="s">
        <v>112995</v>
      </c>
      <c r="P289" s="250"/>
      <c r="Q289" s="250"/>
      <c r="R289" s="251">
        <v>3753000000</v>
      </c>
      <c r="S289" s="252"/>
      <c r="T289" s="252"/>
      <c r="U289" s="253"/>
    </row>
    <row r="290" spans="2:21" x14ac:dyDescent="0.2">
      <c r="B290" s="254" t="s">
        <v>105516</v>
      </c>
      <c r="C290" s="254" t="s">
        <v>106106</v>
      </c>
      <c r="D290" s="254" t="s">
        <v>105520</v>
      </c>
      <c r="E290" s="254" t="s">
        <v>105573</v>
      </c>
      <c r="F290" s="254" t="s">
        <v>105528</v>
      </c>
      <c r="G290" s="254"/>
      <c r="H290" s="254"/>
      <c r="I290" s="254"/>
      <c r="J290" s="254"/>
      <c r="K290" s="65"/>
      <c r="L290" s="65"/>
      <c r="M290" s="66" t="s">
        <v>113160</v>
      </c>
      <c r="N290" s="67"/>
      <c r="O290" s="67" t="s">
        <v>112995</v>
      </c>
      <c r="P290" s="68"/>
      <c r="Q290" s="68"/>
      <c r="R290" s="69">
        <v>3675000000</v>
      </c>
      <c r="S290" s="70"/>
      <c r="T290" s="70"/>
      <c r="U290" s="71"/>
    </row>
    <row r="291" spans="2:21" x14ac:dyDescent="0.2">
      <c r="B291" s="88"/>
      <c r="C291" s="89"/>
      <c r="D291" s="89"/>
      <c r="E291" s="89"/>
      <c r="F291" s="89"/>
      <c r="G291" s="89"/>
      <c r="H291" s="89"/>
      <c r="I291" s="89"/>
      <c r="J291" s="90"/>
      <c r="K291" s="90" t="s">
        <v>112781</v>
      </c>
      <c r="L291" s="255"/>
      <c r="M291" s="102"/>
      <c r="N291" s="94"/>
      <c r="O291" s="94"/>
      <c r="P291" s="94"/>
      <c r="Q291" s="94"/>
      <c r="R291" s="205"/>
      <c r="S291" s="96"/>
      <c r="T291" s="256"/>
      <c r="U291" s="202"/>
    </row>
    <row r="292" spans="2:21" x14ac:dyDescent="0.2">
      <c r="B292" s="254" t="s">
        <v>105516</v>
      </c>
      <c r="C292" s="254" t="s">
        <v>106106</v>
      </c>
      <c r="D292" s="254" t="s">
        <v>105520</v>
      </c>
      <c r="E292" s="254" t="s">
        <v>105573</v>
      </c>
      <c r="F292" s="254" t="s">
        <v>105538</v>
      </c>
      <c r="G292" s="254"/>
      <c r="H292" s="254"/>
      <c r="I292" s="254"/>
      <c r="J292" s="254"/>
      <c r="K292" s="65"/>
      <c r="L292" s="65"/>
      <c r="M292" s="66" t="s">
        <v>112786</v>
      </c>
      <c r="N292" s="67"/>
      <c r="O292" s="67" t="s">
        <v>112995</v>
      </c>
      <c r="P292" s="68"/>
      <c r="Q292" s="68"/>
      <c r="R292" s="69">
        <v>75000000</v>
      </c>
      <c r="S292" s="70"/>
      <c r="T292" s="70"/>
      <c r="U292" s="71"/>
    </row>
    <row r="293" spans="2:21" x14ac:dyDescent="0.2">
      <c r="B293" s="88"/>
      <c r="C293" s="89"/>
      <c r="D293" s="89"/>
      <c r="E293" s="89"/>
      <c r="F293" s="89"/>
      <c r="G293" s="89"/>
      <c r="H293" s="89"/>
      <c r="I293" s="89"/>
      <c r="J293" s="90"/>
      <c r="K293" s="90" t="s">
        <v>112785</v>
      </c>
      <c r="L293" s="128"/>
      <c r="M293" s="92"/>
      <c r="N293" s="94"/>
      <c r="O293" s="94"/>
      <c r="P293" s="94"/>
      <c r="Q293" s="94"/>
      <c r="R293" s="95"/>
      <c r="S293" s="96"/>
      <c r="T293" s="97"/>
      <c r="U293" s="98"/>
    </row>
    <row r="294" spans="2:21" x14ac:dyDescent="0.2">
      <c r="B294" s="254" t="s">
        <v>105516</v>
      </c>
      <c r="C294" s="254" t="s">
        <v>106106</v>
      </c>
      <c r="D294" s="254" t="s">
        <v>105520</v>
      </c>
      <c r="E294" s="254" t="s">
        <v>105573</v>
      </c>
      <c r="F294" s="254" t="s">
        <v>105547</v>
      </c>
      <c r="G294" s="254"/>
      <c r="H294" s="254"/>
      <c r="I294" s="254"/>
      <c r="J294" s="254"/>
      <c r="K294" s="65"/>
      <c r="L294" s="65"/>
      <c r="M294" s="66" t="s">
        <v>112792</v>
      </c>
      <c r="N294" s="67"/>
      <c r="O294" s="67" t="s">
        <v>112995</v>
      </c>
      <c r="P294" s="68"/>
      <c r="Q294" s="68"/>
      <c r="R294" s="69">
        <v>3000000</v>
      </c>
      <c r="S294" s="70"/>
      <c r="T294" s="70"/>
      <c r="U294" s="71"/>
    </row>
    <row r="295" spans="2:21" x14ac:dyDescent="0.2">
      <c r="B295" s="88"/>
      <c r="C295" s="89"/>
      <c r="D295" s="89"/>
      <c r="E295" s="89"/>
      <c r="F295" s="89"/>
      <c r="G295" s="89"/>
      <c r="H295" s="89"/>
      <c r="I295" s="89"/>
      <c r="J295" s="90"/>
      <c r="K295" s="90" t="s">
        <v>112791</v>
      </c>
      <c r="L295" s="128"/>
      <c r="M295" s="92"/>
      <c r="N295" s="94"/>
      <c r="O295" s="94"/>
      <c r="P295" s="94"/>
      <c r="Q295" s="94"/>
      <c r="R295" s="95"/>
      <c r="S295" s="96"/>
      <c r="T295" s="97"/>
      <c r="U295" s="98"/>
    </row>
    <row r="296" spans="2:21" ht="15.75" x14ac:dyDescent="0.2">
      <c r="B296" s="238" t="s">
        <v>105516</v>
      </c>
      <c r="C296" s="238" t="s">
        <v>106106</v>
      </c>
      <c r="D296" s="238" t="s">
        <v>105917</v>
      </c>
      <c r="E296" s="238"/>
      <c r="F296" s="238"/>
      <c r="G296" s="238"/>
      <c r="H296" s="238"/>
      <c r="I296" s="238"/>
      <c r="J296" s="238"/>
      <c r="K296" s="239"/>
      <c r="L296" s="239"/>
      <c r="M296" s="240" t="s">
        <v>112804</v>
      </c>
      <c r="N296" s="241"/>
      <c r="O296" s="241" t="s">
        <v>112995</v>
      </c>
      <c r="P296" s="242"/>
      <c r="Q296" s="242"/>
      <c r="R296" s="243">
        <v>360000000</v>
      </c>
      <c r="S296" s="244"/>
      <c r="T296" s="244"/>
      <c r="U296" s="245"/>
    </row>
    <row r="297" spans="2:21" x14ac:dyDescent="0.2">
      <c r="B297" s="246" t="s">
        <v>105516</v>
      </c>
      <c r="C297" s="246" t="s">
        <v>106106</v>
      </c>
      <c r="D297" s="246" t="s">
        <v>105917</v>
      </c>
      <c r="E297" s="246" t="s">
        <v>105520</v>
      </c>
      <c r="F297" s="246"/>
      <c r="G297" s="246"/>
      <c r="H297" s="246"/>
      <c r="I297" s="246"/>
      <c r="J297" s="246"/>
      <c r="K297" s="257" t="s">
        <v>112805</v>
      </c>
      <c r="L297" s="247"/>
      <c r="M297" s="248" t="s">
        <v>112806</v>
      </c>
      <c r="N297" s="249" t="s">
        <v>112995</v>
      </c>
      <c r="O297" s="249" t="s">
        <v>113031</v>
      </c>
      <c r="P297" s="250"/>
      <c r="Q297" s="250"/>
      <c r="R297" s="258">
        <v>128000000</v>
      </c>
      <c r="S297" s="246"/>
      <c r="T297" s="259"/>
      <c r="U297" s="253"/>
    </row>
    <row r="298" spans="2:21" x14ac:dyDescent="0.2">
      <c r="B298" s="246" t="s">
        <v>105516</v>
      </c>
      <c r="C298" s="246" t="s">
        <v>106106</v>
      </c>
      <c r="D298" s="246" t="s">
        <v>105917</v>
      </c>
      <c r="E298" s="246" t="s">
        <v>105917</v>
      </c>
      <c r="F298" s="246"/>
      <c r="G298" s="246"/>
      <c r="H298" s="246"/>
      <c r="I298" s="246"/>
      <c r="J298" s="246"/>
      <c r="K298" s="257" t="s">
        <v>112811</v>
      </c>
      <c r="L298" s="247"/>
      <c r="M298" s="248"/>
      <c r="N298" s="249"/>
      <c r="O298" s="249"/>
      <c r="P298" s="250"/>
      <c r="Q298" s="250"/>
      <c r="R298" s="258"/>
      <c r="S298" s="246"/>
      <c r="T298" s="259"/>
      <c r="U298" s="253"/>
    </row>
    <row r="299" spans="2:21" ht="15.75" x14ac:dyDescent="0.2">
      <c r="B299" s="238" t="s">
        <v>105516</v>
      </c>
      <c r="C299" s="238" t="s">
        <v>106106</v>
      </c>
      <c r="D299" s="260" t="s">
        <v>105924</v>
      </c>
      <c r="E299" s="238"/>
      <c r="F299" s="238"/>
      <c r="G299" s="238"/>
      <c r="H299" s="238"/>
      <c r="I299" s="238"/>
      <c r="J299" s="238"/>
      <c r="K299" s="238"/>
      <c r="L299" s="239"/>
      <c r="M299" s="240" t="s">
        <v>112822</v>
      </c>
      <c r="N299" s="241"/>
      <c r="O299" s="241" t="s">
        <v>112995</v>
      </c>
      <c r="P299" s="242"/>
      <c r="Q299" s="242"/>
      <c r="R299" s="243">
        <v>50000000</v>
      </c>
      <c r="S299" s="244"/>
      <c r="T299" s="244"/>
      <c r="U299" s="245"/>
    </row>
    <row r="300" spans="2:21" x14ac:dyDescent="0.2">
      <c r="B300" s="246" t="s">
        <v>105516</v>
      </c>
      <c r="C300" s="246" t="s">
        <v>106106</v>
      </c>
      <c r="D300" s="261" t="s">
        <v>105924</v>
      </c>
      <c r="E300" s="246"/>
      <c r="F300" s="246"/>
      <c r="G300" s="246"/>
      <c r="H300" s="246"/>
      <c r="I300" s="246"/>
      <c r="J300" s="246"/>
      <c r="K300" s="247"/>
      <c r="L300" s="247"/>
      <c r="M300" s="248" t="s">
        <v>112822</v>
      </c>
      <c r="N300" s="249" t="s">
        <v>112995</v>
      </c>
      <c r="O300" s="249" t="s">
        <v>113031</v>
      </c>
      <c r="P300" s="250"/>
      <c r="Q300" s="250"/>
      <c r="R300" s="258">
        <v>50000000</v>
      </c>
      <c r="S300" s="246"/>
      <c r="T300" s="259"/>
      <c r="U300" s="253"/>
    </row>
    <row r="301" spans="2:21" ht="15.75" x14ac:dyDescent="0.2">
      <c r="B301" s="262" t="s">
        <v>113163</v>
      </c>
      <c r="C301" s="262"/>
      <c r="D301" s="262"/>
      <c r="E301" s="262"/>
      <c r="F301" s="262"/>
      <c r="G301" s="262"/>
      <c r="H301" s="262"/>
      <c r="I301" s="262"/>
      <c r="J301" s="262"/>
      <c r="K301" s="263"/>
      <c r="L301" s="263"/>
      <c r="M301" s="264" t="s">
        <v>113164</v>
      </c>
      <c r="N301" s="265"/>
      <c r="O301" s="265" t="s">
        <v>112995</v>
      </c>
      <c r="P301" s="266"/>
      <c r="Q301" s="266"/>
      <c r="R301" s="267">
        <v>38560000000</v>
      </c>
      <c r="S301" s="268"/>
      <c r="T301" s="268"/>
      <c r="U301" s="269"/>
    </row>
    <row r="302" spans="2:21" ht="15.75" x14ac:dyDescent="0.2">
      <c r="B302" s="270" t="s">
        <v>113163</v>
      </c>
      <c r="C302" s="270"/>
      <c r="D302" s="270" t="s">
        <v>113165</v>
      </c>
      <c r="E302" s="270"/>
      <c r="F302" s="270"/>
      <c r="G302" s="270"/>
      <c r="H302" s="270"/>
      <c r="I302" s="270"/>
      <c r="J302" s="270"/>
      <c r="K302" s="271"/>
      <c r="L302" s="271"/>
      <c r="M302" s="272" t="s">
        <v>113166</v>
      </c>
      <c r="N302" s="273"/>
      <c r="O302" s="273" t="s">
        <v>112995</v>
      </c>
      <c r="P302" s="274"/>
      <c r="Q302" s="274"/>
      <c r="R302" s="275">
        <v>16777000000</v>
      </c>
      <c r="S302" s="276"/>
      <c r="T302" s="276"/>
      <c r="U302" s="277"/>
    </row>
    <row r="303" spans="2:21" ht="15.75" x14ac:dyDescent="0.2">
      <c r="B303" s="278" t="s">
        <v>113163</v>
      </c>
      <c r="C303" s="278"/>
      <c r="D303" s="278" t="s">
        <v>113165</v>
      </c>
      <c r="E303" s="278"/>
      <c r="F303" s="278" t="s">
        <v>113167</v>
      </c>
      <c r="G303" s="278"/>
      <c r="H303" s="278"/>
      <c r="I303" s="278"/>
      <c r="J303" s="278"/>
      <c r="K303" s="279"/>
      <c r="L303" s="279"/>
      <c r="M303" s="280" t="s">
        <v>113168</v>
      </c>
      <c r="N303" s="281"/>
      <c r="O303" s="281" t="s">
        <v>112995</v>
      </c>
      <c r="P303" s="282"/>
      <c r="Q303" s="282"/>
      <c r="R303" s="283">
        <v>16777000000</v>
      </c>
      <c r="S303" s="284"/>
      <c r="T303" s="284"/>
      <c r="U303" s="285"/>
    </row>
    <row r="304" spans="2:21" ht="15.75" x14ac:dyDescent="0.2">
      <c r="B304" s="254" t="s">
        <v>113163</v>
      </c>
      <c r="C304" s="254"/>
      <c r="D304" s="254" t="s">
        <v>113165</v>
      </c>
      <c r="E304" s="254"/>
      <c r="F304" s="254" t="s">
        <v>113167</v>
      </c>
      <c r="G304" s="254"/>
      <c r="H304" s="254">
        <v>4</v>
      </c>
      <c r="I304" s="254"/>
      <c r="J304" s="254"/>
      <c r="K304" s="65"/>
      <c r="L304" s="65"/>
      <c r="M304" s="66" t="s">
        <v>113169</v>
      </c>
      <c r="N304" s="67"/>
      <c r="O304" s="67" t="s">
        <v>112995</v>
      </c>
      <c r="P304" s="68"/>
      <c r="Q304" s="68"/>
      <c r="R304" s="286">
        <v>8142000000</v>
      </c>
      <c r="S304" s="287"/>
      <c r="T304" s="287"/>
      <c r="U304" s="288"/>
    </row>
    <row r="305" spans="2:21" ht="15.75" x14ac:dyDescent="0.2">
      <c r="B305" s="289" t="s">
        <v>105516</v>
      </c>
      <c r="C305" s="289" t="s">
        <v>105573</v>
      </c>
      <c r="D305" s="289"/>
      <c r="E305" s="289"/>
      <c r="F305" s="289"/>
      <c r="G305" s="289"/>
      <c r="H305" s="289"/>
      <c r="I305" s="289"/>
      <c r="J305" s="289"/>
      <c r="K305" s="35"/>
      <c r="L305" s="35"/>
      <c r="M305" s="36" t="s">
        <v>112994</v>
      </c>
      <c r="N305" s="290"/>
      <c r="O305" s="290" t="s">
        <v>112995</v>
      </c>
      <c r="P305" s="291"/>
      <c r="Q305" s="291"/>
      <c r="R305" s="39">
        <f>SUM(R306:R320)</f>
        <v>28939161583.380001</v>
      </c>
      <c r="S305" s="40"/>
      <c r="T305" s="40"/>
      <c r="U305" s="292"/>
    </row>
    <row r="306" spans="2:21" ht="45" x14ac:dyDescent="0.2">
      <c r="B306" s="88"/>
      <c r="C306" s="89"/>
      <c r="D306" s="89"/>
      <c r="E306" s="89"/>
      <c r="F306" s="89"/>
      <c r="G306" s="89"/>
      <c r="H306" s="89"/>
      <c r="I306" s="89"/>
      <c r="J306" s="90"/>
      <c r="K306" s="90" t="s">
        <v>113174</v>
      </c>
      <c r="L306" s="91" t="s">
        <v>113170</v>
      </c>
      <c r="M306" s="92" t="s">
        <v>113171</v>
      </c>
      <c r="N306" s="93">
        <v>45000</v>
      </c>
      <c r="O306" s="93" t="s">
        <v>113001</v>
      </c>
      <c r="P306" s="132" t="s">
        <v>113068</v>
      </c>
      <c r="Q306" s="94" t="s">
        <v>113172</v>
      </c>
      <c r="R306" s="95">
        <v>4138111605.6999998</v>
      </c>
      <c r="S306" s="293"/>
      <c r="T306" s="294"/>
      <c r="U306" s="295" t="s">
        <v>113173</v>
      </c>
    </row>
    <row r="307" spans="2:21" ht="30" x14ac:dyDescent="0.2">
      <c r="B307" s="88"/>
      <c r="C307" s="89"/>
      <c r="D307" s="89"/>
      <c r="E307" s="89"/>
      <c r="F307" s="89"/>
      <c r="G307" s="89"/>
      <c r="H307" s="89"/>
      <c r="I307" s="89"/>
      <c r="J307" s="90"/>
      <c r="K307" s="90" t="s">
        <v>113174</v>
      </c>
      <c r="L307" s="91">
        <v>81101500</v>
      </c>
      <c r="M307" s="92" t="s">
        <v>113175</v>
      </c>
      <c r="N307" s="93">
        <v>45000</v>
      </c>
      <c r="O307" s="93" t="s">
        <v>113001</v>
      </c>
      <c r="P307" s="132" t="s">
        <v>113068</v>
      </c>
      <c r="Q307" s="94" t="s">
        <v>113176</v>
      </c>
      <c r="R307" s="95">
        <v>550573392.67999995</v>
      </c>
      <c r="S307" s="293"/>
      <c r="T307" s="294"/>
      <c r="U307" s="295" t="s">
        <v>113173</v>
      </c>
    </row>
    <row r="308" spans="2:21" ht="45" x14ac:dyDescent="0.2">
      <c r="B308" s="88"/>
      <c r="C308" s="89"/>
      <c r="D308" s="89"/>
      <c r="E308" s="89"/>
      <c r="F308" s="89"/>
      <c r="G308" s="89"/>
      <c r="H308" s="89"/>
      <c r="I308" s="89"/>
      <c r="J308" s="90"/>
      <c r="K308" s="90" t="s">
        <v>113174</v>
      </c>
      <c r="L308" s="91" t="s">
        <v>113170</v>
      </c>
      <c r="M308" s="92" t="s">
        <v>113177</v>
      </c>
      <c r="N308" s="93">
        <v>45017</v>
      </c>
      <c r="O308" s="93" t="s">
        <v>113006</v>
      </c>
      <c r="P308" s="94" t="s">
        <v>113178</v>
      </c>
      <c r="Q308" s="94" t="s">
        <v>113172</v>
      </c>
      <c r="R308" s="95">
        <v>21235476585</v>
      </c>
      <c r="S308" s="293"/>
      <c r="T308" s="294"/>
      <c r="U308" s="295" t="s">
        <v>113173</v>
      </c>
    </row>
    <row r="309" spans="2:21" ht="30" x14ac:dyDescent="0.2">
      <c r="B309" s="88"/>
      <c r="C309" s="89"/>
      <c r="D309" s="89"/>
      <c r="E309" s="89"/>
      <c r="F309" s="89"/>
      <c r="G309" s="89"/>
      <c r="H309" s="89"/>
      <c r="I309" s="89"/>
      <c r="J309" s="90"/>
      <c r="K309" s="90" t="s">
        <v>113174</v>
      </c>
      <c r="L309" s="91">
        <v>81101500</v>
      </c>
      <c r="M309" s="92" t="s">
        <v>113179</v>
      </c>
      <c r="N309" s="93">
        <v>45017</v>
      </c>
      <c r="O309" s="93" t="s">
        <v>113006</v>
      </c>
      <c r="P309" s="94" t="s">
        <v>113178</v>
      </c>
      <c r="Q309" s="94" t="s">
        <v>113176</v>
      </c>
      <c r="R309" s="95">
        <v>3015000000</v>
      </c>
      <c r="S309" s="293"/>
      <c r="T309" s="294"/>
      <c r="U309" s="295" t="s">
        <v>113173</v>
      </c>
    </row>
    <row r="310" spans="2:21" x14ac:dyDescent="0.2">
      <c r="B310" s="88"/>
      <c r="C310" s="89"/>
      <c r="D310" s="89"/>
      <c r="E310" s="89"/>
      <c r="F310" s="89"/>
      <c r="G310" s="89"/>
      <c r="H310" s="89"/>
      <c r="I310" s="89"/>
      <c r="J310" s="90"/>
      <c r="K310" s="90" t="s">
        <v>113174</v>
      </c>
      <c r="L310" s="91"/>
      <c r="M310" s="92"/>
      <c r="N310" s="93"/>
      <c r="O310" s="93"/>
      <c r="P310" s="94"/>
      <c r="Q310" s="94"/>
      <c r="R310" s="118"/>
      <c r="S310" s="144"/>
      <c r="T310" s="144"/>
      <c r="U310" s="295"/>
    </row>
    <row r="311" spans="2:21" x14ac:dyDescent="0.2">
      <c r="B311" s="88"/>
      <c r="C311" s="89"/>
      <c r="D311" s="89"/>
      <c r="E311" s="89"/>
      <c r="F311" s="89"/>
      <c r="G311" s="89"/>
      <c r="H311" s="89"/>
      <c r="I311" s="89"/>
      <c r="J311" s="90"/>
      <c r="K311" s="90" t="s">
        <v>113174</v>
      </c>
      <c r="L311" s="91"/>
      <c r="M311" s="92"/>
      <c r="N311" s="93"/>
      <c r="O311" s="93"/>
      <c r="P311" s="94"/>
      <c r="Q311" s="94"/>
      <c r="R311" s="118"/>
      <c r="S311" s="144"/>
      <c r="T311" s="144"/>
      <c r="U311" s="295"/>
    </row>
    <row r="312" spans="2:21" x14ac:dyDescent="0.2">
      <c r="B312" s="88"/>
      <c r="C312" s="89"/>
      <c r="D312" s="89"/>
      <c r="E312" s="89"/>
      <c r="F312" s="89"/>
      <c r="G312" s="89"/>
      <c r="H312" s="89"/>
      <c r="I312" s="89"/>
      <c r="J312" s="90"/>
      <c r="K312" s="90" t="s">
        <v>113174</v>
      </c>
      <c r="L312" s="91"/>
      <c r="M312" s="92"/>
      <c r="N312" s="93"/>
      <c r="O312" s="93"/>
      <c r="P312" s="94"/>
      <c r="Q312" s="94"/>
      <c r="R312" s="118"/>
      <c r="S312" s="144"/>
      <c r="T312" s="144"/>
      <c r="U312" s="295"/>
    </row>
    <row r="313" spans="2:21" x14ac:dyDescent="0.2">
      <c r="B313" s="88"/>
      <c r="C313" s="89"/>
      <c r="D313" s="89"/>
      <c r="E313" s="89"/>
      <c r="F313" s="89"/>
      <c r="G313" s="89"/>
      <c r="H313" s="89"/>
      <c r="I313" s="89"/>
      <c r="J313" s="90"/>
      <c r="K313" s="90" t="s">
        <v>113174</v>
      </c>
      <c r="L313" s="91"/>
      <c r="M313" s="92"/>
      <c r="N313" s="93"/>
      <c r="O313" s="93"/>
      <c r="P313" s="94"/>
      <c r="Q313" s="94"/>
      <c r="R313" s="118"/>
      <c r="S313" s="144"/>
      <c r="T313" s="144"/>
      <c r="U313" s="295"/>
    </row>
    <row r="314" spans="2:21" x14ac:dyDescent="0.2">
      <c r="B314" s="88"/>
      <c r="C314" s="89"/>
      <c r="D314" s="89"/>
      <c r="E314" s="89"/>
      <c r="F314" s="89"/>
      <c r="G314" s="89"/>
      <c r="H314" s="89"/>
      <c r="I314" s="89"/>
      <c r="J314" s="90"/>
      <c r="K314" s="90" t="s">
        <v>113174</v>
      </c>
      <c r="L314" s="91"/>
      <c r="M314" s="92"/>
      <c r="N314" s="93"/>
      <c r="O314" s="93"/>
      <c r="P314" s="94"/>
      <c r="Q314" s="94"/>
      <c r="R314" s="118"/>
      <c r="S314" s="144"/>
      <c r="T314" s="144"/>
      <c r="U314" s="295"/>
    </row>
    <row r="315" spans="2:21" x14ac:dyDescent="0.2">
      <c r="B315" s="88"/>
      <c r="C315" s="89"/>
      <c r="D315" s="89"/>
      <c r="E315" s="89"/>
      <c r="F315" s="89"/>
      <c r="G315" s="89"/>
      <c r="H315" s="89"/>
      <c r="I315" s="89"/>
      <c r="J315" s="90"/>
      <c r="K315" s="90" t="s">
        <v>113174</v>
      </c>
      <c r="L315" s="91"/>
      <c r="M315" s="92"/>
      <c r="N315" s="93"/>
      <c r="O315" s="93"/>
      <c r="P315" s="94"/>
      <c r="Q315" s="94"/>
      <c r="R315" s="118"/>
      <c r="S315" s="144"/>
      <c r="T315" s="144"/>
      <c r="U315" s="295"/>
    </row>
    <row r="316" spans="2:21" x14ac:dyDescent="0.2">
      <c r="B316" s="88"/>
      <c r="C316" s="89"/>
      <c r="D316" s="89"/>
      <c r="E316" s="89"/>
      <c r="F316" s="89"/>
      <c r="G316" s="89"/>
      <c r="H316" s="89"/>
      <c r="I316" s="89"/>
      <c r="J316" s="90"/>
      <c r="K316" s="90" t="s">
        <v>113174</v>
      </c>
      <c r="L316" s="91"/>
      <c r="M316" s="92"/>
      <c r="N316" s="93"/>
      <c r="O316" s="93"/>
      <c r="P316" s="94"/>
      <c r="Q316" s="94"/>
      <c r="R316" s="118"/>
      <c r="S316" s="144"/>
      <c r="T316" s="144"/>
      <c r="U316" s="295"/>
    </row>
    <row r="317" spans="2:21" x14ac:dyDescent="0.2">
      <c r="B317" s="88"/>
      <c r="C317" s="89"/>
      <c r="D317" s="89"/>
      <c r="E317" s="89"/>
      <c r="F317" s="89"/>
      <c r="G317" s="89"/>
      <c r="H317" s="89"/>
      <c r="I317" s="89"/>
      <c r="J317" s="90"/>
      <c r="K317" s="90" t="s">
        <v>113174</v>
      </c>
      <c r="L317" s="91"/>
      <c r="M317" s="92"/>
      <c r="N317" s="93"/>
      <c r="O317" s="93"/>
      <c r="P317" s="94"/>
      <c r="Q317" s="94"/>
      <c r="R317" s="118"/>
      <c r="S317" s="144"/>
      <c r="T317" s="144"/>
      <c r="U317" s="295"/>
    </row>
    <row r="318" spans="2:21" x14ac:dyDescent="0.2">
      <c r="B318" s="88"/>
      <c r="C318" s="89"/>
      <c r="D318" s="89"/>
      <c r="E318" s="89"/>
      <c r="F318" s="89"/>
      <c r="G318" s="89"/>
      <c r="H318" s="89"/>
      <c r="I318" s="89"/>
      <c r="J318" s="90"/>
      <c r="K318" s="90" t="s">
        <v>113174</v>
      </c>
      <c r="L318" s="91"/>
      <c r="M318" s="92"/>
      <c r="N318" s="93"/>
      <c r="O318" s="93"/>
      <c r="P318" s="94"/>
      <c r="Q318" s="94"/>
      <c r="R318" s="118"/>
      <c r="S318" s="144"/>
      <c r="T318" s="144"/>
      <c r="U318" s="295"/>
    </row>
    <row r="319" spans="2:21" x14ac:dyDescent="0.2">
      <c r="B319" s="88"/>
      <c r="C319" s="89"/>
      <c r="D319" s="89"/>
      <c r="E319" s="89"/>
      <c r="F319" s="89"/>
      <c r="G319" s="89"/>
      <c r="H319" s="89"/>
      <c r="I319" s="89"/>
      <c r="J319" s="90"/>
      <c r="K319" s="90" t="s">
        <v>113174</v>
      </c>
      <c r="L319" s="91"/>
      <c r="M319" s="92"/>
      <c r="N319" s="93"/>
      <c r="O319" s="93"/>
      <c r="P319" s="94"/>
      <c r="Q319" s="94"/>
      <c r="R319" s="118"/>
      <c r="S319" s="103"/>
      <c r="T319" s="141"/>
      <c r="U319" s="295"/>
    </row>
    <row r="320" spans="2:21" x14ac:dyDescent="0.2">
      <c r="B320" s="88"/>
      <c r="C320" s="89"/>
      <c r="D320" s="89"/>
      <c r="E320" s="89"/>
      <c r="F320" s="89"/>
      <c r="G320" s="89"/>
      <c r="H320" s="89"/>
      <c r="I320" s="89"/>
      <c r="J320" s="90"/>
      <c r="K320" s="90" t="s">
        <v>113174</v>
      </c>
      <c r="L320" s="91"/>
      <c r="M320" s="92"/>
      <c r="N320" s="93"/>
      <c r="O320" s="93"/>
      <c r="P320" s="94"/>
      <c r="Q320" s="94"/>
      <c r="R320" s="118"/>
      <c r="S320" s="103"/>
      <c r="T320" s="141"/>
      <c r="U320" s="295"/>
    </row>
    <row r="321" spans="1:21" ht="30" x14ac:dyDescent="0.2">
      <c r="B321" s="254" t="s">
        <v>113163</v>
      </c>
      <c r="C321" s="254"/>
      <c r="D321" s="254" t="s">
        <v>113165</v>
      </c>
      <c r="E321" s="254"/>
      <c r="F321" s="254" t="s">
        <v>113167</v>
      </c>
      <c r="G321" s="254"/>
      <c r="H321" s="254" t="s">
        <v>106211</v>
      </c>
      <c r="I321" s="254"/>
      <c r="J321" s="254"/>
      <c r="K321" s="65"/>
      <c r="L321" s="65"/>
      <c r="M321" s="66" t="s">
        <v>113182</v>
      </c>
      <c r="N321" s="67"/>
      <c r="O321" s="67" t="s">
        <v>112995</v>
      </c>
      <c r="P321" s="68"/>
      <c r="Q321" s="68"/>
      <c r="R321" s="69"/>
      <c r="S321" s="70"/>
      <c r="T321" s="70"/>
      <c r="U321" s="71"/>
    </row>
    <row r="322" spans="1:21" ht="15.75" x14ac:dyDescent="0.2">
      <c r="B322" s="289" t="s">
        <v>105516</v>
      </c>
      <c r="C322" s="289" t="s">
        <v>105573</v>
      </c>
      <c r="D322" s="289"/>
      <c r="E322" s="289"/>
      <c r="F322" s="289"/>
      <c r="G322" s="289"/>
      <c r="H322" s="289"/>
      <c r="I322" s="289"/>
      <c r="J322" s="289"/>
      <c r="K322" s="35"/>
      <c r="L322" s="35"/>
      <c r="M322" s="36" t="s">
        <v>112994</v>
      </c>
      <c r="N322" s="290"/>
      <c r="O322" s="290" t="s">
        <v>112995</v>
      </c>
      <c r="P322" s="291"/>
      <c r="Q322" s="291"/>
      <c r="R322" s="296">
        <f>SUM(R323:R341)</f>
        <v>5085521534.4700003</v>
      </c>
      <c r="S322" s="297"/>
      <c r="T322" s="297"/>
      <c r="U322" s="298"/>
    </row>
    <row r="323" spans="1:21" ht="45" x14ac:dyDescent="0.2">
      <c r="A323" s="299"/>
      <c r="B323" s="88"/>
      <c r="C323" s="89"/>
      <c r="D323" s="89"/>
      <c r="E323" s="89"/>
      <c r="F323" s="89"/>
      <c r="G323" s="89"/>
      <c r="H323" s="89"/>
      <c r="I323" s="89"/>
      <c r="J323" s="90"/>
      <c r="K323" s="90" t="s">
        <v>113185</v>
      </c>
      <c r="L323" s="91" t="s">
        <v>113170</v>
      </c>
      <c r="M323" s="92" t="s">
        <v>113183</v>
      </c>
      <c r="N323" s="93">
        <v>45061</v>
      </c>
      <c r="O323" s="93" t="s">
        <v>113087</v>
      </c>
      <c r="P323" s="94" t="s">
        <v>113022</v>
      </c>
      <c r="Q323" s="94" t="s">
        <v>113184</v>
      </c>
      <c r="R323" s="95">
        <v>860000000</v>
      </c>
      <c r="S323" s="96"/>
      <c r="T323" s="141"/>
      <c r="U323" s="92" t="s">
        <v>113173</v>
      </c>
    </row>
    <row r="324" spans="1:21" ht="30" x14ac:dyDescent="0.2">
      <c r="B324" s="88"/>
      <c r="C324" s="89"/>
      <c r="D324" s="89"/>
      <c r="E324" s="89"/>
      <c r="F324" s="89"/>
      <c r="G324" s="89"/>
      <c r="H324" s="89"/>
      <c r="I324" s="89"/>
      <c r="J324" s="90"/>
      <c r="K324" s="90" t="s">
        <v>113185</v>
      </c>
      <c r="L324" s="55">
        <v>81101500</v>
      </c>
      <c r="M324" s="92" t="s">
        <v>113186</v>
      </c>
      <c r="N324" s="93">
        <v>45061</v>
      </c>
      <c r="O324" s="93" t="s">
        <v>113087</v>
      </c>
      <c r="P324" s="94" t="s">
        <v>113022</v>
      </c>
      <c r="Q324" s="94" t="s">
        <v>113176</v>
      </c>
      <c r="R324" s="95">
        <v>77400000</v>
      </c>
      <c r="S324" s="96"/>
      <c r="T324" s="141"/>
      <c r="U324" s="92" t="s">
        <v>113173</v>
      </c>
    </row>
    <row r="325" spans="1:21" ht="45" x14ac:dyDescent="0.2">
      <c r="B325" s="88"/>
      <c r="C325" s="89"/>
      <c r="D325" s="89"/>
      <c r="E325" s="89"/>
      <c r="F325" s="89"/>
      <c r="G325" s="89"/>
      <c r="H325" s="89"/>
      <c r="I325" s="89"/>
      <c r="J325" s="90"/>
      <c r="K325" s="90" t="s">
        <v>113185</v>
      </c>
      <c r="L325" s="91" t="s">
        <v>113170</v>
      </c>
      <c r="M325" s="92" t="s">
        <v>113187</v>
      </c>
      <c r="N325" s="93">
        <v>45061</v>
      </c>
      <c r="O325" s="93" t="s">
        <v>113087</v>
      </c>
      <c r="P325" s="94" t="s">
        <v>113022</v>
      </c>
      <c r="Q325" s="94" t="s">
        <v>113184</v>
      </c>
      <c r="R325" s="95">
        <v>600000000</v>
      </c>
      <c r="S325" s="96"/>
      <c r="T325" s="141"/>
      <c r="U325" s="92" t="s">
        <v>113173</v>
      </c>
    </row>
    <row r="326" spans="1:21" ht="30" x14ac:dyDescent="0.2">
      <c r="B326" s="88"/>
      <c r="C326" s="89"/>
      <c r="D326" s="89"/>
      <c r="E326" s="89"/>
      <c r="F326" s="89"/>
      <c r="G326" s="89"/>
      <c r="H326" s="89"/>
      <c r="I326" s="89"/>
      <c r="J326" s="90"/>
      <c r="K326" s="90" t="s">
        <v>113185</v>
      </c>
      <c r="L326" s="55">
        <v>81101500</v>
      </c>
      <c r="M326" s="92" t="s">
        <v>113188</v>
      </c>
      <c r="N326" s="93">
        <v>45061</v>
      </c>
      <c r="O326" s="93" t="s">
        <v>113087</v>
      </c>
      <c r="P326" s="94" t="s">
        <v>113022</v>
      </c>
      <c r="Q326" s="94" t="s">
        <v>113176</v>
      </c>
      <c r="R326" s="95">
        <v>54000000</v>
      </c>
      <c r="S326" s="96"/>
      <c r="T326" s="141"/>
      <c r="U326" s="92" t="s">
        <v>113173</v>
      </c>
    </row>
    <row r="327" spans="1:21" ht="45" x14ac:dyDescent="0.2">
      <c r="B327" s="88"/>
      <c r="C327" s="89"/>
      <c r="D327" s="89"/>
      <c r="E327" s="89"/>
      <c r="F327" s="89"/>
      <c r="G327" s="89"/>
      <c r="H327" s="89"/>
      <c r="I327" s="89"/>
      <c r="J327" s="90"/>
      <c r="K327" s="90" t="s">
        <v>113185</v>
      </c>
      <c r="L327" s="91" t="s">
        <v>113170</v>
      </c>
      <c r="M327" s="92" t="s">
        <v>113189</v>
      </c>
      <c r="N327" s="93">
        <v>45061</v>
      </c>
      <c r="O327" s="93" t="s">
        <v>113087</v>
      </c>
      <c r="P327" s="94" t="s">
        <v>113022</v>
      </c>
      <c r="Q327" s="94" t="s">
        <v>113184</v>
      </c>
      <c r="R327" s="95">
        <v>1650000000</v>
      </c>
      <c r="S327" s="96"/>
      <c r="T327" s="141"/>
      <c r="U327" s="92" t="s">
        <v>113173</v>
      </c>
    </row>
    <row r="328" spans="1:21" ht="30" x14ac:dyDescent="0.2">
      <c r="B328" s="88"/>
      <c r="C328" s="89"/>
      <c r="D328" s="89"/>
      <c r="E328" s="89"/>
      <c r="F328" s="89"/>
      <c r="G328" s="89"/>
      <c r="H328" s="89"/>
      <c r="I328" s="89"/>
      <c r="J328" s="90"/>
      <c r="K328" s="90" t="s">
        <v>113185</v>
      </c>
      <c r="L328" s="91">
        <v>81101500</v>
      </c>
      <c r="M328" s="92" t="s">
        <v>113190</v>
      </c>
      <c r="N328" s="93">
        <v>45061</v>
      </c>
      <c r="O328" s="93" t="s">
        <v>113087</v>
      </c>
      <c r="P328" s="94" t="s">
        <v>113022</v>
      </c>
      <c r="Q328" s="94" t="s">
        <v>113176</v>
      </c>
      <c r="R328" s="95">
        <v>148500000</v>
      </c>
      <c r="S328" s="96"/>
      <c r="T328" s="141"/>
      <c r="U328" s="92" t="s">
        <v>113173</v>
      </c>
    </row>
    <row r="329" spans="1:21" ht="45" x14ac:dyDescent="0.2">
      <c r="B329" s="88"/>
      <c r="C329" s="89"/>
      <c r="D329" s="89"/>
      <c r="E329" s="89"/>
      <c r="F329" s="89"/>
      <c r="G329" s="89"/>
      <c r="H329" s="89"/>
      <c r="I329" s="89"/>
      <c r="J329" s="90"/>
      <c r="K329" s="90" t="s">
        <v>113185</v>
      </c>
      <c r="L329" s="91" t="s">
        <v>113170</v>
      </c>
      <c r="M329" s="92" t="s">
        <v>113191</v>
      </c>
      <c r="N329" s="93">
        <v>45092</v>
      </c>
      <c r="O329" s="93" t="s">
        <v>113018</v>
      </c>
      <c r="P329" s="94" t="s">
        <v>113022</v>
      </c>
      <c r="Q329" s="94" t="s">
        <v>113184</v>
      </c>
      <c r="R329" s="95">
        <v>1555616086.6700001</v>
      </c>
      <c r="S329" s="96"/>
      <c r="T329" s="141"/>
      <c r="U329" s="92" t="s">
        <v>113173</v>
      </c>
    </row>
    <row r="330" spans="1:21" x14ac:dyDescent="0.2">
      <c r="B330" s="88"/>
      <c r="C330" s="89"/>
      <c r="D330" s="89"/>
      <c r="E330" s="89"/>
      <c r="F330" s="89"/>
      <c r="G330" s="89"/>
      <c r="H330" s="89"/>
      <c r="I330" s="89"/>
      <c r="J330" s="90"/>
      <c r="K330" s="90" t="s">
        <v>113185</v>
      </c>
      <c r="L330" s="91">
        <v>81101500</v>
      </c>
      <c r="M330" s="92" t="s">
        <v>113192</v>
      </c>
      <c r="N330" s="93">
        <v>45092</v>
      </c>
      <c r="O330" s="93" t="s">
        <v>113018</v>
      </c>
      <c r="P330" s="94" t="s">
        <v>113022</v>
      </c>
      <c r="Q330" s="94" t="s">
        <v>113176</v>
      </c>
      <c r="R330" s="95">
        <v>140005447.80000028</v>
      </c>
      <c r="S330" s="96"/>
      <c r="T330" s="141"/>
      <c r="U330" s="92" t="s">
        <v>113173</v>
      </c>
    </row>
    <row r="331" spans="1:21" x14ac:dyDescent="0.2">
      <c r="B331" s="88"/>
      <c r="C331" s="89"/>
      <c r="D331" s="89"/>
      <c r="E331" s="89"/>
      <c r="F331" s="89"/>
      <c r="G331" s="89"/>
      <c r="H331" s="89"/>
      <c r="I331" s="89"/>
      <c r="J331" s="90"/>
      <c r="K331" s="90" t="s">
        <v>113185</v>
      </c>
      <c r="L331" s="91"/>
      <c r="M331" s="92"/>
      <c r="N331" s="93"/>
      <c r="O331" s="93"/>
      <c r="P331" s="94"/>
      <c r="Q331" s="94"/>
      <c r="R331" s="118"/>
      <c r="S331" s="96"/>
      <c r="T331" s="141"/>
      <c r="U331" s="92"/>
    </row>
    <row r="332" spans="1:21" x14ac:dyDescent="0.2">
      <c r="B332" s="88"/>
      <c r="C332" s="89"/>
      <c r="D332" s="89"/>
      <c r="E332" s="89"/>
      <c r="F332" s="89"/>
      <c r="G332" s="89"/>
      <c r="H332" s="89"/>
      <c r="I332" s="89"/>
      <c r="J332" s="90"/>
      <c r="K332" s="90" t="s">
        <v>113185</v>
      </c>
      <c r="L332" s="91"/>
      <c r="M332" s="92"/>
      <c r="N332" s="93"/>
      <c r="O332" s="93"/>
      <c r="P332" s="94"/>
      <c r="Q332" s="94"/>
      <c r="R332" s="118"/>
      <c r="S332" s="96"/>
      <c r="T332" s="141"/>
      <c r="U332" s="92"/>
    </row>
    <row r="333" spans="1:21" x14ac:dyDescent="0.2">
      <c r="B333" s="88"/>
      <c r="C333" s="89"/>
      <c r="D333" s="89"/>
      <c r="E333" s="89"/>
      <c r="F333" s="89"/>
      <c r="G333" s="89"/>
      <c r="H333" s="89"/>
      <c r="I333" s="89"/>
      <c r="J333" s="90"/>
      <c r="K333" s="90" t="s">
        <v>113185</v>
      </c>
      <c r="L333" s="91"/>
      <c r="M333" s="92"/>
      <c r="N333" s="93"/>
      <c r="O333" s="93"/>
      <c r="P333" s="94"/>
      <c r="Q333" s="94"/>
      <c r="R333" s="118"/>
      <c r="S333" s="96"/>
      <c r="T333" s="141"/>
      <c r="U333" s="92"/>
    </row>
    <row r="334" spans="1:21" x14ac:dyDescent="0.2">
      <c r="B334" s="88"/>
      <c r="C334" s="89"/>
      <c r="D334" s="89"/>
      <c r="E334" s="89"/>
      <c r="F334" s="89"/>
      <c r="G334" s="89"/>
      <c r="H334" s="89"/>
      <c r="I334" s="89"/>
      <c r="J334" s="90"/>
      <c r="K334" s="90" t="s">
        <v>113185</v>
      </c>
      <c r="L334" s="91"/>
      <c r="M334" s="92"/>
      <c r="N334" s="93"/>
      <c r="O334" s="93"/>
      <c r="P334" s="94"/>
      <c r="Q334" s="94"/>
      <c r="R334" s="118"/>
      <c r="S334" s="96"/>
      <c r="T334" s="141"/>
      <c r="U334" s="92"/>
    </row>
    <row r="335" spans="1:21" x14ac:dyDescent="0.2">
      <c r="B335" s="88"/>
      <c r="C335" s="89"/>
      <c r="D335" s="89"/>
      <c r="E335" s="89"/>
      <c r="F335" s="89"/>
      <c r="G335" s="89"/>
      <c r="H335" s="89"/>
      <c r="I335" s="89"/>
      <c r="J335" s="90"/>
      <c r="K335" s="90" t="s">
        <v>113185</v>
      </c>
      <c r="L335" s="91"/>
      <c r="M335" s="92"/>
      <c r="N335" s="93"/>
      <c r="O335" s="93"/>
      <c r="P335" s="94"/>
      <c r="Q335" s="94"/>
      <c r="R335" s="118"/>
      <c r="S335" s="96"/>
      <c r="T335" s="141"/>
      <c r="U335" s="92"/>
    </row>
    <row r="336" spans="1:21" x14ac:dyDescent="0.2">
      <c r="B336" s="88"/>
      <c r="C336" s="89"/>
      <c r="D336" s="89"/>
      <c r="E336" s="89"/>
      <c r="F336" s="89"/>
      <c r="G336" s="89"/>
      <c r="H336" s="89"/>
      <c r="I336" s="89"/>
      <c r="J336" s="90"/>
      <c r="K336" s="90" t="s">
        <v>113185</v>
      </c>
      <c r="L336" s="91"/>
      <c r="M336" s="92"/>
      <c r="N336" s="93"/>
      <c r="O336" s="93"/>
      <c r="P336" s="94"/>
      <c r="Q336" s="94"/>
      <c r="R336" s="118"/>
      <c r="S336" s="96"/>
      <c r="T336" s="141"/>
      <c r="U336" s="92"/>
    </row>
    <row r="337" spans="2:21" x14ac:dyDescent="0.2">
      <c r="B337" s="88"/>
      <c r="C337" s="89"/>
      <c r="D337" s="89"/>
      <c r="E337" s="89"/>
      <c r="F337" s="89"/>
      <c r="G337" s="89"/>
      <c r="H337" s="89"/>
      <c r="I337" s="89"/>
      <c r="J337" s="90"/>
      <c r="K337" s="90" t="s">
        <v>113185</v>
      </c>
      <c r="L337" s="91"/>
      <c r="M337" s="92"/>
      <c r="N337" s="93"/>
      <c r="O337" s="93"/>
      <c r="P337" s="94"/>
      <c r="Q337" s="94"/>
      <c r="R337" s="118"/>
      <c r="S337" s="96"/>
      <c r="T337" s="141"/>
      <c r="U337" s="92"/>
    </row>
    <row r="338" spans="2:21" x14ac:dyDescent="0.2">
      <c r="B338" s="88"/>
      <c r="C338" s="89"/>
      <c r="D338" s="89"/>
      <c r="E338" s="89"/>
      <c r="F338" s="89"/>
      <c r="G338" s="89"/>
      <c r="H338" s="89"/>
      <c r="I338" s="89"/>
      <c r="J338" s="90"/>
      <c r="K338" s="90" t="s">
        <v>113185</v>
      </c>
      <c r="L338" s="91"/>
      <c r="M338" s="92"/>
      <c r="N338" s="93"/>
      <c r="O338" s="93"/>
      <c r="P338" s="94"/>
      <c r="Q338" s="94"/>
      <c r="R338" s="118"/>
      <c r="S338" s="96"/>
      <c r="T338" s="141"/>
      <c r="U338" s="92"/>
    </row>
    <row r="339" spans="2:21" x14ac:dyDescent="0.2">
      <c r="B339" s="88"/>
      <c r="C339" s="89"/>
      <c r="D339" s="89"/>
      <c r="E339" s="89"/>
      <c r="F339" s="89"/>
      <c r="G339" s="89"/>
      <c r="H339" s="89"/>
      <c r="I339" s="89"/>
      <c r="J339" s="90"/>
      <c r="K339" s="90" t="s">
        <v>113185</v>
      </c>
      <c r="L339" s="91"/>
      <c r="M339" s="92"/>
      <c r="N339" s="93"/>
      <c r="O339" s="93"/>
      <c r="P339" s="94"/>
      <c r="Q339" s="94"/>
      <c r="R339" s="118"/>
      <c r="S339" s="96"/>
      <c r="T339" s="141"/>
      <c r="U339" s="92"/>
    </row>
    <row r="340" spans="2:21" x14ac:dyDescent="0.2">
      <c r="B340" s="88"/>
      <c r="C340" s="89"/>
      <c r="D340" s="89"/>
      <c r="E340" s="89"/>
      <c r="F340" s="89"/>
      <c r="G340" s="89"/>
      <c r="H340" s="89"/>
      <c r="I340" s="89"/>
      <c r="J340" s="90"/>
      <c r="K340" s="90" t="s">
        <v>113185</v>
      </c>
      <c r="L340" s="91"/>
      <c r="M340" s="92"/>
      <c r="N340" s="93"/>
      <c r="O340" s="93"/>
      <c r="P340" s="94"/>
      <c r="Q340" s="94"/>
      <c r="R340" s="118"/>
      <c r="S340" s="96"/>
      <c r="T340" s="141"/>
      <c r="U340" s="92"/>
    </row>
    <row r="341" spans="2:21" x14ac:dyDescent="0.2">
      <c r="B341" s="88"/>
      <c r="C341" s="89"/>
      <c r="D341" s="89"/>
      <c r="E341" s="89"/>
      <c r="F341" s="89"/>
      <c r="G341" s="89"/>
      <c r="H341" s="89"/>
      <c r="I341" s="89"/>
      <c r="J341" s="90"/>
      <c r="K341" s="90" t="s">
        <v>113185</v>
      </c>
      <c r="L341" s="91"/>
      <c r="M341" s="92"/>
      <c r="N341" s="93"/>
      <c r="O341" s="93"/>
      <c r="P341" s="94"/>
      <c r="Q341" s="94"/>
      <c r="R341" s="118"/>
      <c r="S341" s="96"/>
      <c r="T341" s="141"/>
      <c r="U341" s="92"/>
    </row>
    <row r="342" spans="2:21" ht="30" x14ac:dyDescent="0.2">
      <c r="B342" s="270" t="s">
        <v>113163</v>
      </c>
      <c r="C342" s="270"/>
      <c r="D342" s="270">
        <v>1599</v>
      </c>
      <c r="E342" s="270"/>
      <c r="F342" s="270"/>
      <c r="G342" s="270"/>
      <c r="H342" s="270"/>
      <c r="I342" s="270"/>
      <c r="J342" s="270"/>
      <c r="K342" s="271"/>
      <c r="L342" s="271"/>
      <c r="M342" s="272" t="s">
        <v>113194</v>
      </c>
      <c r="N342" s="273"/>
      <c r="O342" s="273" t="s">
        <v>112995</v>
      </c>
      <c r="P342" s="274" t="s">
        <v>112995</v>
      </c>
      <c r="Q342" s="274" t="s">
        <v>112995</v>
      </c>
      <c r="R342" s="275">
        <v>2488000000</v>
      </c>
      <c r="S342" s="276"/>
      <c r="T342" s="276"/>
      <c r="U342" s="277"/>
    </row>
    <row r="343" spans="2:21" ht="15.75" x14ac:dyDescent="0.2">
      <c r="B343" s="278" t="s">
        <v>113163</v>
      </c>
      <c r="C343" s="278"/>
      <c r="D343" s="278">
        <v>1599</v>
      </c>
      <c r="E343" s="278"/>
      <c r="F343" s="278" t="s">
        <v>113167</v>
      </c>
      <c r="G343" s="278"/>
      <c r="H343" s="278"/>
      <c r="I343" s="278"/>
      <c r="J343" s="278"/>
      <c r="K343" s="279"/>
      <c r="L343" s="279"/>
      <c r="M343" s="280" t="s">
        <v>113168</v>
      </c>
      <c r="N343" s="281"/>
      <c r="O343" s="281" t="s">
        <v>112995</v>
      </c>
      <c r="P343" s="282" t="s">
        <v>112995</v>
      </c>
      <c r="Q343" s="282" t="s">
        <v>112995</v>
      </c>
      <c r="R343" s="283">
        <v>2488000000</v>
      </c>
      <c r="S343" s="284"/>
      <c r="T343" s="284"/>
      <c r="U343" s="285"/>
    </row>
    <row r="344" spans="2:21" ht="30" x14ac:dyDescent="0.2">
      <c r="B344" s="254" t="s">
        <v>113163</v>
      </c>
      <c r="C344" s="254"/>
      <c r="D344" s="254">
        <v>1599</v>
      </c>
      <c r="E344" s="254"/>
      <c r="F344" s="254" t="s">
        <v>113167</v>
      </c>
      <c r="G344" s="254"/>
      <c r="H344" s="254">
        <v>1</v>
      </c>
      <c r="I344" s="254"/>
      <c r="J344" s="254"/>
      <c r="K344" s="65"/>
      <c r="L344" s="65"/>
      <c r="M344" s="66" t="s">
        <v>113195</v>
      </c>
      <c r="N344" s="67"/>
      <c r="O344" s="67" t="s">
        <v>113037</v>
      </c>
      <c r="P344" s="68" t="s">
        <v>112995</v>
      </c>
      <c r="Q344" s="68" t="s">
        <v>112995</v>
      </c>
      <c r="R344" s="69">
        <v>2488000000</v>
      </c>
      <c r="S344" s="70"/>
      <c r="T344" s="70"/>
      <c r="U344" s="71"/>
    </row>
    <row r="345" spans="2:21" ht="15.75" x14ac:dyDescent="0.2">
      <c r="B345" s="289" t="s">
        <v>105516</v>
      </c>
      <c r="C345" s="289" t="s">
        <v>105573</v>
      </c>
      <c r="D345" s="289"/>
      <c r="E345" s="289"/>
      <c r="F345" s="289"/>
      <c r="G345" s="289"/>
      <c r="H345" s="289"/>
      <c r="I345" s="289"/>
      <c r="J345" s="289"/>
      <c r="K345" s="35"/>
      <c r="L345" s="35"/>
      <c r="M345" s="36" t="s">
        <v>112994</v>
      </c>
      <c r="N345" s="290"/>
      <c r="O345" s="290" t="s">
        <v>112995</v>
      </c>
      <c r="P345" s="291" t="s">
        <v>112995</v>
      </c>
      <c r="Q345" s="291" t="s">
        <v>112995</v>
      </c>
      <c r="R345" s="296"/>
      <c r="S345" s="297"/>
      <c r="T345" s="297"/>
      <c r="U345" s="298"/>
    </row>
    <row r="346" spans="2:21" x14ac:dyDescent="0.2">
      <c r="B346" s="88"/>
      <c r="C346" s="89"/>
      <c r="D346" s="89"/>
      <c r="E346" s="89"/>
      <c r="F346" s="89"/>
      <c r="G346" s="89"/>
      <c r="H346" s="89"/>
      <c r="I346" s="89"/>
      <c r="J346" s="90"/>
      <c r="K346" s="90" t="s">
        <v>113196</v>
      </c>
      <c r="L346" s="91"/>
      <c r="M346" s="92"/>
      <c r="N346" s="93"/>
      <c r="O346" s="93"/>
      <c r="P346" s="94"/>
      <c r="Q346" s="94"/>
      <c r="R346" s="95"/>
      <c r="S346" s="96"/>
      <c r="T346" s="141"/>
      <c r="U346" s="92"/>
    </row>
    <row r="347" spans="2:21" x14ac:dyDescent="0.2">
      <c r="B347" s="88"/>
      <c r="C347" s="89"/>
      <c r="D347" s="89"/>
      <c r="E347" s="89"/>
      <c r="F347" s="89"/>
      <c r="G347" s="89"/>
      <c r="H347" s="89"/>
      <c r="I347" s="89"/>
      <c r="J347" s="90"/>
      <c r="K347" s="90" t="s">
        <v>113196</v>
      </c>
      <c r="L347" s="91"/>
      <c r="M347" s="92"/>
      <c r="N347" s="93"/>
      <c r="O347" s="93"/>
      <c r="P347" s="94"/>
      <c r="Q347" s="94"/>
      <c r="R347" s="95"/>
      <c r="S347" s="300"/>
      <c r="T347" s="141"/>
      <c r="U347" s="92"/>
    </row>
  </sheetData>
  <sheetProtection formatCells="0" formatColumns="0" formatRows="0" insertColumns="0" insertRows="0" insertHyperlinks="0" deleteColumns="0" deleteRows="0" sort="0" autoFilter="0" pivotTables="0"/>
  <autoFilter ref="B6:U347" xr:uid="{00000000-0009-0000-0000-000006000000}"/>
  <pageMargins left="0.7" right="0.7" top="0.75" bottom="0.75" header="0.3" footer="0.3"/>
  <pageSetup scale="29"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errorTitle="ERROR" error="ERROR" xr:uid="{00000000-0002-0000-0600-000000000000}">
          <x14:formula1>
            <xm:f>'\\172.23.131.133\Presupuesto\01. PRESUPUESTO_2023\2023\06.Plan de adquisiciones\[29.Plan Adquisiciones 2023 ICFE.xlsx]Hoja1'!#REF!</xm:f>
          </x14:formula1>
          <xm:sqref>U158:U196 U246:U305 U200:U241 U13:U55 U57:U143 U145:U153 U321:U347</xm:sqref>
        </x14:dataValidation>
        <x14:dataValidation type="list" allowBlank="1" showInputMessage="1" showErrorMessage="1" errorTitle="ERROR" error="ERROR" xr:uid="{00000000-0002-0000-0600-000001000000}">
          <x14:formula1>
            <xm:f>'\\172.23.131.133\Planeacion\4.Plan de adquisiciones\Plan de Adquisiciones 2023\PAA Áreas\[Plan Adquisiciones 2023 ICFE - Proyectos de inversión.xlsx]Hoja1'!#REF!</xm:f>
          </x14:formula1>
          <xm:sqref>U306:U320</xm:sqref>
        </x14:dataValidation>
        <x14:dataValidation type="list" allowBlank="1" showInputMessage="1" showErrorMessage="1" errorTitle="ERROR" error="ERROR" xr:uid="{00000000-0002-0000-0600-000002000000}">
          <x14:formula1>
            <xm:f>'\\172.23.131.133\Planeacion\4.Plan de adquisiciones\Plan de Adquisiciones 2023\PAA Áreas\[Plan Adquisiciones 2023 ICFE - Mantenimiento y Atención al usuario.xlsx]Hoja1'!#REF!</xm:f>
          </x14:formula1>
          <xm:sqref>U197:U199 U242:U245 U56 U154:U157</xm:sqref>
        </x14:dataValidation>
        <x14:dataValidation type="list" allowBlank="1" showInputMessage="1" showErrorMessage="1" errorTitle="ERROR" error="ERROR" xr:uid="{00000000-0002-0000-0600-000003000000}">
          <x14:formula1>
            <xm:f>'\\172.23.131.133\Presupuesto\01. PRESUPUESTO_2023\2023\06.Plan de adquisiciones\[29.Plan Adquisiciones 2023 ICFE.xlsx]Hoja1'!#REF!</xm:f>
          </x14:formula1>
          <xm:sqref>U144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R4125"/>
  <sheetViews>
    <sheetView showGridLines="0" topLeftCell="A803" workbookViewId="0">
      <selection activeCell="A832" sqref="A832:XFD832"/>
    </sheetView>
  </sheetViews>
  <sheetFormatPr baseColWidth="10" defaultColWidth="11.42578125"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38.855468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ht="24"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s="13" customFormat="1"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s="13" customFormat="1" hidden="1"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s="13" customFormat="1" hidden="1"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s="13" customFormat="1" hidden="1"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s="13" customFormat="1" hidden="1"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s="13" customFormat="1" hidden="1"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s="13" customFormat="1" hidden="1"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s="13" customFormat="1" hidden="1"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s="13" customFormat="1" hidden="1"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s="13" customFormat="1" hidden="1"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s="13" customFormat="1" hidden="1"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s="13" customFormat="1" hidden="1"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s="13" customFormat="1" hidden="1"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s="13" customFormat="1" hidden="1"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s="13" customFormat="1" hidden="1"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s="13" customFormat="1" hidden="1"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s="13" customFormat="1" hidden="1"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s="13" customFormat="1" hidden="1"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s="13" customFormat="1" hidden="1"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s="13" customFormat="1" hidden="1"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s="13" customFormat="1" hidden="1"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s="13" customFormat="1" hidden="1"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s="13" customFormat="1" hidden="1"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s="13" customFormat="1" hidden="1"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s="13" customFormat="1" hidden="1"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s="13" customFormat="1" hidden="1"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s="13" customFormat="1" hidden="1"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s="13" customFormat="1" hidden="1"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s="13" customFormat="1" hidden="1"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s="13" customFormat="1" hidden="1"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s="13" customFormat="1" hidden="1"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s="13" customFormat="1" hidden="1"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s="13" customFormat="1" hidden="1"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s="13" customFormat="1" hidden="1"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s="13" customFormat="1" hidden="1"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s="13" customFormat="1" hidden="1"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s="13" customFormat="1" hidden="1"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s="13" customFormat="1" hidden="1"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s="13" customFormat="1" hidden="1"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s="13" customFormat="1" hidden="1"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s="13" customFormat="1" hidden="1"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s="13" customFormat="1" hidden="1"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s="13" customFormat="1" hidden="1"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s="13" customFormat="1" hidden="1"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s="13" customFormat="1" hidden="1"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s="13" customFormat="1" hidden="1"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s="13" customFormat="1" hidden="1"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s="13" customFormat="1" hidden="1"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s="13" customFormat="1" hidden="1"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s="13" customFormat="1" hidden="1"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s="13" customFormat="1" hidden="1"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s="13" customFormat="1" hidden="1"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s="13" customFormat="1" hidden="1"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s="13" customFormat="1" hidden="1"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s="13" customFormat="1" hidden="1"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s="13" customFormat="1" hidden="1"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s="13" customFormat="1" hidden="1"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s="13" customFormat="1" hidden="1"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s="13" customFormat="1" hidden="1"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s="13" customFormat="1" hidden="1"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s="13" customFormat="1" hidden="1"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s="13" customFormat="1" hidden="1"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s="13" customFormat="1" hidden="1"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s="13" customFormat="1" hidden="1"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s="13" customFormat="1" hidden="1"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s="13" customFormat="1" hidden="1"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s="13" customFormat="1" hidden="1"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s="13" customFormat="1" hidden="1"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s="13" customFormat="1" hidden="1"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s="13" customFormat="1" hidden="1"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s="13" customFormat="1" hidden="1"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s="13" customFormat="1" hidden="1"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s="13" customFormat="1" hidden="1"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s="13" customFormat="1" hidden="1"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s="13" customFormat="1" hidden="1"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s="13" customFormat="1" hidden="1"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s="13" customFormat="1" hidden="1"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s="13" customFormat="1" hidden="1"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s="13" customFormat="1" hidden="1"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s="13" customFormat="1" hidden="1"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s="13" customFormat="1" hidden="1"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s="13" customFormat="1" hidden="1"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s="13" customFormat="1" hidden="1"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s="13" customFormat="1" hidden="1"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s="13" customFormat="1" hidden="1"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s="13" customFormat="1" hidden="1"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s="13" customFormat="1" hidden="1"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s="13" customFormat="1" hidden="1"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s="13" customFormat="1" hidden="1"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s="13" customFormat="1" hidden="1"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s="13" customFormat="1" hidden="1"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s="13" customFormat="1" hidden="1"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s="13" customFormat="1" hidden="1"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s="13" customFormat="1" hidden="1"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s="13" customFormat="1" hidden="1"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s="13" customFormat="1" hidden="1"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s="13" customFormat="1" hidden="1"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s="13" customFormat="1" hidden="1"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s="13" customFormat="1" hidden="1"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s="13" customFormat="1" hidden="1"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s="13" customFormat="1" hidden="1"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s="13" customFormat="1" hidden="1"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s="13" customFormat="1" hidden="1"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s="13" customFormat="1" hidden="1"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s="13" customFormat="1" hidden="1"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s="13" customFormat="1" hidden="1"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s="13" customFormat="1" hidden="1"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s="13" customFormat="1" hidden="1"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s="13" customFormat="1" hidden="1"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s="13" customFormat="1" hidden="1"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s="13" customFormat="1" hidden="1"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s="13" customFormat="1" hidden="1"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s="13" customFormat="1" hidden="1"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s="13" customFormat="1" hidden="1"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s="13" customFormat="1" hidden="1"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s="13" customFormat="1" hidden="1"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s="13" customFormat="1" hidden="1"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s="13" customFormat="1" hidden="1"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s="13" customFormat="1" hidden="1"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s="13" customFormat="1" hidden="1"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s="13" customFormat="1" hidden="1"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s="13" customFormat="1" hidden="1"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s="13" customFormat="1" hidden="1"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s="13" customFormat="1" hidden="1"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s="13" customFormat="1" hidden="1"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s="13" customFormat="1" hidden="1"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s="13" customFormat="1" hidden="1"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s="13" customFormat="1" hidden="1"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s="13" customFormat="1" hidden="1"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s="13" customFormat="1" hidden="1"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s="13" customFormat="1" hidden="1"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s="13" customFormat="1" hidden="1"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s="13" customFormat="1" hidden="1"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s="13" customFormat="1" hidden="1"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s="13" customFormat="1" hidden="1"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s="13" customFormat="1" hidden="1"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s="13" customFormat="1" hidden="1"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s="13" customFormat="1" hidden="1"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s="13" customFormat="1" hidden="1"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s="13" customFormat="1" hidden="1"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s="13" customFormat="1" hidden="1"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s="13" customFormat="1" hidden="1"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s="13" customFormat="1" hidden="1"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s="13" customFormat="1" hidden="1"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s="13" customFormat="1" hidden="1"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s="13" customFormat="1" hidden="1"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s="13" customFormat="1" hidden="1"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s="13" customFormat="1" hidden="1"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s="13" customFormat="1" hidden="1"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s="13" customFormat="1" hidden="1"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s="13" customFormat="1" hidden="1"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s="13" customFormat="1" hidden="1"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s="13" customFormat="1" hidden="1"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s="13" customFormat="1" hidden="1"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s="13" customFormat="1" hidden="1"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s="13" customFormat="1" hidden="1"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s="13" customFormat="1" hidden="1"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s="13" customFormat="1" hidden="1"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s="13" customFormat="1" hidden="1"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s="13" customFormat="1" hidden="1"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s="13" customFormat="1" hidden="1"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s="13" customFormat="1" hidden="1"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s="13" customFormat="1" hidden="1"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s="13" customFormat="1" hidden="1"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s="13" customFormat="1" hidden="1"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s="13" customFormat="1" hidden="1"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s="13" customFormat="1" hidden="1"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s="13" customFormat="1" hidden="1"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s="13" customFormat="1" hidden="1"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s="13" customFormat="1" hidden="1"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s="13" customFormat="1" hidden="1"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s="13" customFormat="1" hidden="1"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s="13" customFormat="1" hidden="1"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s="13" customFormat="1" hidden="1"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s="13" customFormat="1" hidden="1"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s="13" customFormat="1" hidden="1"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s="13" customFormat="1" hidden="1"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s="13" customFormat="1" hidden="1"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s="13" customFormat="1" hidden="1"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s="13" customFormat="1" hidden="1"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s="13" customFormat="1" hidden="1"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s="13" customFormat="1" hidden="1"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s="13" customFormat="1" hidden="1"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s="13" customFormat="1" hidden="1"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s="13" customFormat="1" hidden="1"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s="13" customFormat="1" hidden="1"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s="13" customFormat="1" hidden="1"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s="13" customFormat="1" hidden="1"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s="13" customFormat="1" hidden="1"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s="13" customFormat="1" hidden="1"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s="13" customFormat="1" hidden="1"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s="13" customFormat="1" hidden="1"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s="13" customFormat="1" hidden="1"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s="13" customFormat="1" hidden="1"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s="13" customFormat="1" hidden="1"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s="13" customFormat="1" hidden="1"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s="13" customFormat="1" hidden="1"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s="13" customFormat="1" hidden="1"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s="13" customFormat="1" hidden="1"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s="13" customFormat="1" hidden="1"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s="13" customFormat="1" hidden="1"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s="13" customFormat="1" hidden="1"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s="13" customFormat="1" hidden="1"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s="13" customFormat="1" hidden="1"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s="13" customFormat="1" hidden="1"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s="13" customFormat="1" hidden="1"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s="13" customFormat="1" hidden="1"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s="13" customFormat="1" hidden="1"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s="13" customFormat="1" hidden="1"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s="13" customFormat="1" hidden="1"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s="13" customFormat="1" hidden="1"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s="13" customFormat="1" hidden="1"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s="13" customFormat="1" hidden="1"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s="13" customFormat="1" hidden="1"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s="13" customFormat="1" hidden="1"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s="13" customFormat="1" hidden="1"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s="13" customFormat="1" hidden="1"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s="13" customFormat="1" hidden="1"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s="13" customFormat="1" hidden="1"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s="13" customFormat="1" hidden="1"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s="13" customFormat="1" hidden="1"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s="13" customFormat="1" hidden="1"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s="13" customFormat="1" hidden="1"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s="13" customFormat="1" hidden="1"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s="13" customFormat="1" hidden="1"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s="13" customFormat="1" hidden="1"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s="13" customFormat="1" hidden="1"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s="13" customFormat="1" hidden="1"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s="13" customFormat="1" hidden="1"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s="13" customFormat="1" hidden="1"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s="13" customFormat="1" hidden="1"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s="13" customFormat="1" hidden="1"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s="13" customFormat="1" hidden="1"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s="13" customFormat="1" hidden="1"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s="13" customFormat="1" hidden="1"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s="13" customFormat="1" hidden="1"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s="13" customFormat="1" hidden="1"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s="13" customFormat="1" hidden="1"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s="13" customFormat="1" hidden="1"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s="13" customFormat="1" hidden="1"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s="13" customFormat="1" hidden="1"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s="13" customFormat="1" hidden="1"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s="13" customFormat="1" hidden="1"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s="13" customFormat="1" hidden="1"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s="13" customFormat="1" hidden="1"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s="13" customFormat="1" hidden="1"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s="13" customFormat="1" hidden="1"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s="13" customFormat="1" hidden="1"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s="13" customFormat="1" hidden="1"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s="13" customFormat="1" hidden="1"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s="13" customFormat="1" hidden="1"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s="13" customFormat="1" hidden="1"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s="13" customFormat="1" hidden="1"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s="13" customFormat="1" hidden="1"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s="13" customFormat="1" hidden="1"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s="13" customFormat="1" hidden="1"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s="13" customFormat="1" hidden="1"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s="13" customFormat="1" hidden="1"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s="13" customFormat="1" hidden="1"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s="13" customFormat="1" hidden="1"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s="13" customFormat="1" hidden="1"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s="13" customFormat="1" hidden="1"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s="13" customFormat="1" hidden="1"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s="13" customFormat="1" hidden="1"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s="13" customFormat="1" hidden="1"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s="13" customFormat="1" hidden="1"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s="13" customFormat="1" hidden="1"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s="13" customFormat="1" hidden="1"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s="13" customFormat="1" hidden="1"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s="13" customFormat="1" hidden="1"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s="13" customFormat="1" hidden="1"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s="13" customFormat="1" hidden="1"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s="13" customFormat="1" hidden="1"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s="13" customFormat="1" hidden="1"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s="13" customFormat="1" hidden="1"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s="13" customFormat="1" hidden="1"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s="13" customFormat="1" hidden="1"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s="13" customFormat="1" hidden="1"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s="13" customFormat="1" hidden="1"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s="13" customFormat="1" hidden="1"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s="13" customFormat="1" hidden="1"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s="13" customFormat="1" hidden="1"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s="13" customFormat="1" hidden="1"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s="13" customFormat="1" hidden="1"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s="13" customFormat="1" hidden="1"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s="13" customFormat="1" hidden="1"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s="13" customFormat="1" hidden="1"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s="13" customFormat="1" hidden="1"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s="13" customFormat="1" hidden="1"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s="13" customFormat="1" hidden="1"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s="13" customFormat="1" hidden="1"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s="13" customFormat="1" hidden="1"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s="13" customFormat="1" hidden="1"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s="13" customFormat="1" hidden="1"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s="13" customFormat="1" hidden="1"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s="13" customFormat="1" hidden="1"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s="13" customFormat="1" hidden="1"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s="13" customFormat="1" hidden="1"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s="13" customFormat="1" hidden="1"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s="13" customFormat="1" hidden="1"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s="13" customFormat="1" hidden="1"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s="13" customFormat="1" hidden="1"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s="13" customFormat="1" hidden="1"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s="13" customFormat="1" hidden="1"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s="13" customFormat="1" hidden="1"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s="13" customFormat="1" hidden="1"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s="13" customFormat="1" hidden="1"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s="13" customFormat="1" hidden="1"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s="13" customFormat="1" hidden="1"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s="13" customFormat="1" hidden="1"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s="13" customFormat="1" hidden="1"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s="13" customFormat="1" hidden="1"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s="13" customFormat="1" hidden="1"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s="13" customFormat="1" hidden="1"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s="13" customFormat="1"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s="13" customFormat="1"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s="13" customFormat="1"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s="13" customFormat="1"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s="13" customFormat="1"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s="13" customFormat="1"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s="13" customFormat="1"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s="13" customFormat="1"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s="13" customFormat="1"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s="13" customFormat="1"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s="13" customFormat="1"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s="13" customFormat="1"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s="13" customFormat="1"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s="13" customFormat="1"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s="13" customFormat="1"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s="13" customFormat="1"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s="13" customFormat="1"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s="13" customFormat="1"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s="13" customFormat="1"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s="13" customFormat="1"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s="13" customFormat="1"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s="13" customFormat="1"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s="13" customFormat="1"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s="13" customFormat="1"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s="13" customFormat="1"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s="13" customFormat="1"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s="13" customFormat="1"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s="13" customFormat="1"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s="13" customFormat="1"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s="13" customFormat="1"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s="13" customFormat="1"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s="13" customFormat="1"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s="13" customFormat="1"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s="13" customFormat="1"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s="13" customFormat="1"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s="13" customFormat="1"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s="13" customFormat="1"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s="13" customFormat="1"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s="13" customFormat="1"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s="13" customFormat="1"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s="13" customFormat="1"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s="13" customFormat="1"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s="13" customFormat="1"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s="13" customFormat="1"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s="13" customFormat="1"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s="13" customFormat="1"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s="13" customFormat="1"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s="13" customFormat="1"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s="13" customFormat="1"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s="13" customFormat="1"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s="13" customFormat="1"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s="13" customFormat="1"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s="13" customFormat="1"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s="13" customFormat="1"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s="13" customFormat="1"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s="13" customFormat="1"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s="13" customFormat="1"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s="13" customFormat="1"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s="13" customFormat="1"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s="13" customFormat="1"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s="13" customFormat="1"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s="13" customFormat="1"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s="13" customFormat="1"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s="13" customFormat="1"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s="13" customFormat="1"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s="13" customFormat="1"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s="13" customFormat="1"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s="13" customFormat="1"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s="13" customFormat="1"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s="13" customFormat="1"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s="13" customFormat="1"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s="13" customFormat="1"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s="13" customFormat="1"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s="13" customFormat="1"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s="13" customFormat="1"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s="13" customFormat="1"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s="13" customFormat="1"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s="13" customFormat="1"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s="13" customFormat="1"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s="13" customFormat="1"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s="13" customFormat="1"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s="13" customFormat="1"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s="13" customFormat="1"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s="13" customFormat="1"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s="13" customFormat="1"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s="13" customFormat="1"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s="13" customFormat="1"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s="13" customFormat="1"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s="13" customFormat="1"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s="13" customFormat="1"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s="13" customFormat="1"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s="13" customFormat="1"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s="13" customFormat="1"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s="13" customFormat="1"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s="13" customFormat="1"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s="13" customFormat="1"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s="13" customFormat="1"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s="13" customFormat="1"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s="13" customFormat="1"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s="13" customFormat="1"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s="13" customFormat="1"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s="13" customFormat="1"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s="13" customFormat="1"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s="13" customFormat="1"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s="13" customFormat="1"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s="13" customFormat="1"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s="13" customFormat="1"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s="13" customFormat="1"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s="13" customFormat="1"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s="13" customFormat="1"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s="13" customFormat="1"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s="13" customFormat="1"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s="13" customFormat="1"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s="13" customFormat="1"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s="13" customFormat="1"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s="13" customFormat="1"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s="13" customFormat="1"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s="13" customFormat="1"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s="13" customFormat="1"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s="13" customFormat="1"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s="13" customFormat="1"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s="13" customFormat="1"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s="13" customFormat="1"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s="13" customFormat="1"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s="13" customFormat="1"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s="13" customFormat="1"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s="13" customFormat="1"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s="13" customFormat="1"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s="13" customFormat="1"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s="13" customFormat="1"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s="13" customFormat="1"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s="13" customFormat="1"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s="13" customFormat="1"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s="13" customFormat="1"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s="13" customFormat="1"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s="13" customFormat="1"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s="13" customFormat="1"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s="13" customFormat="1"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s="13" customFormat="1"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s="13" customFormat="1"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s="13" customFormat="1"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s="13" customFormat="1"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s="13" customFormat="1"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s="13" customFormat="1"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s="13" customFormat="1"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s="13" customFormat="1"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s="13" customFormat="1"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s="13" customFormat="1"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s="13" customFormat="1"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s="13" customFormat="1"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s="13" customFormat="1"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s="13" customFormat="1"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s="13" customFormat="1"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s="13" customFormat="1"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s="13" customFormat="1"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s="13" customFormat="1"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s="13" customFormat="1"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s="13" customFormat="1"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s="13" customFormat="1"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s="13" customFormat="1"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s="13" customFormat="1"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s="13" customFormat="1"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s="13" customFormat="1"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s="13" customFormat="1"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s="13" customFormat="1" x14ac:dyDescent="0.25">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s="13" customFormat="1"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s="13" customFormat="1"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s="13" customFormat="1"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s="13" customFormat="1"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s="13" customFormat="1"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s="13" customFormat="1"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s="13" customFormat="1"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s="13" customFormat="1"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s="13" customFormat="1"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s="13" customFormat="1"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s="13" customFormat="1"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s="13" customFormat="1"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s="13" customFormat="1"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s="13" customFormat="1"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s="13" customFormat="1"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s="13" customFormat="1"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s="13" customFormat="1"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s="13" customFormat="1"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s="13" customFormat="1"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s="13" customFormat="1"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s="13" customFormat="1"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s="13" customFormat="1"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s="13" customFormat="1"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s="13" customFormat="1"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s="13" customFormat="1"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s="13" customFormat="1"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s="13" customFormat="1"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s="13" customFormat="1"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s="13" customFormat="1"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s="13" customFormat="1"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s="13" customFormat="1"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s="13" customFormat="1"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s="13" customFormat="1"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s="13" customFormat="1"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s="13" customFormat="1"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s="13" customFormat="1"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s="13" customFormat="1"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s="13" customFormat="1"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s="13" customFormat="1"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s="13" customFormat="1"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s="13" customFormat="1"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s="13" customFormat="1"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s="13" customFormat="1"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s="13" customFormat="1"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s="13" customFormat="1"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s="13" customFormat="1"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s="13" customFormat="1"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s="13" customFormat="1"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s="13" customFormat="1"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s="13" customFormat="1"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s="13" customFormat="1"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s="13" customFormat="1"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s="13" customFormat="1"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s="13" customFormat="1"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s="13" customFormat="1"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s="13" customFormat="1"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s="13" customFormat="1"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s="13" customFormat="1"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s="13" customFormat="1"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s="13" customFormat="1"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s="13" customFormat="1"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s="13" customFormat="1"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s="13" customFormat="1"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s="13" customFormat="1"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s="13" customFormat="1"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s="13" customFormat="1"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s="13" customFormat="1"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s="13" customFormat="1"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s="13" customFormat="1"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s="13" customFormat="1"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s="13" customFormat="1"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s="13" customFormat="1"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s="13" customFormat="1"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s="13" customFormat="1"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s="13" customFormat="1"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s="13" customFormat="1"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s="13" customFormat="1"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s="13" customFormat="1"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s="13" customFormat="1"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s="13" customFormat="1"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s="13" customFormat="1"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s="13" customFormat="1"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s="13" customFormat="1"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s="13" customFormat="1"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s="13" customFormat="1"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s="13" customFormat="1"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s="13" customFormat="1"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s="13" customFormat="1"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s="13" customFormat="1"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s="13" customFormat="1"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s="13" customFormat="1"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s="13" customFormat="1"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s="13" customFormat="1"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s="13" customFormat="1"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s="13" customFormat="1"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s="13" customFormat="1"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s="13" customFormat="1"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s="13" customFormat="1"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s="13" customFormat="1"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s="13" customFormat="1"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s="13" customFormat="1"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s="13" customFormat="1"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s="13" customFormat="1"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s="13" customFormat="1"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s="13" customFormat="1"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s="13" customFormat="1"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s="13" customFormat="1"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s="13" customFormat="1"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s="13" customFormat="1"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s="13" customFormat="1"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s="13" customFormat="1"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s="13" customFormat="1"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s="13" customFormat="1"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s="13" customFormat="1"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s="13" customFormat="1"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s="13" customFormat="1"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s="13" customFormat="1"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s="13" customFormat="1"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s="13" customFormat="1"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s="13" customFormat="1"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s="13" customFormat="1"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s="13" customFormat="1"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s="13" customFormat="1"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s="13" customFormat="1"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s="13" customFormat="1"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s="13" customFormat="1"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s="13" customFormat="1"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s="13" customFormat="1"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s="13" customFormat="1"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s="13" customFormat="1"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s="13" customFormat="1"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s="13" customFormat="1"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s="13" customFormat="1"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s="13" customFormat="1"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s="13" customFormat="1"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s="13" customFormat="1"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s="13" customFormat="1"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s="13" customFormat="1"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s="13" customFormat="1"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s="13" customFormat="1"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s="13" customFormat="1"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s="13" customFormat="1"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s="13" customFormat="1"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s="13" customFormat="1"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s="13" customFormat="1"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s="13" customFormat="1" x14ac:dyDescent="0.25">
      <c r="A633" s="11" t="s">
        <v>105516</v>
      </c>
      <c r="B633" s="11" t="s">
        <v>105573</v>
      </c>
      <c r="C633" s="11" t="s">
        <v>105573</v>
      </c>
      <c r="D633" s="11" t="s">
        <v>105520</v>
      </c>
      <c r="E633" s="11" t="s">
        <v>105541</v>
      </c>
      <c r="F633" s="11" t="s">
        <v>105535</v>
      </c>
      <c r="G633" s="11"/>
      <c r="H633" s="11"/>
      <c r="I633" s="11"/>
      <c r="J633" s="12" t="s">
        <v>106708</v>
      </c>
      <c r="K633" s="12" t="s">
        <v>106709</v>
      </c>
      <c r="L633" s="11" t="s">
        <v>105497</v>
      </c>
      <c r="M633" s="12"/>
      <c r="N633" s="11" t="s">
        <v>105533</v>
      </c>
      <c r="O633" s="11" t="s">
        <v>105534</v>
      </c>
      <c r="P633" s="11" t="s">
        <v>105533</v>
      </c>
      <c r="Q633" s="11" t="s">
        <v>105518</v>
      </c>
      <c r="R633" s="11" t="s">
        <v>105533</v>
      </c>
    </row>
    <row r="634" spans="1:18" s="13" customFormat="1"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s="13" customFormat="1"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s="13" customFormat="1"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s="13" customFormat="1"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s="13" customFormat="1"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s="13" customFormat="1"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s="13" customFormat="1"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s="13" customFormat="1"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s="13" customFormat="1"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s="13" customFormat="1"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s="13" customFormat="1"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s="13" customFormat="1"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s="13" customFormat="1"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s="13" customFormat="1"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s="13" customFormat="1"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s="13" customFormat="1"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s="13" customFormat="1"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s="13" customFormat="1"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s="13" customFormat="1"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s="13" customFormat="1"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s="13" customFormat="1"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s="13" customFormat="1"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s="13" customFormat="1"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s="13" customFormat="1"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s="13" customFormat="1"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s="13" customFormat="1"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s="13" customFormat="1"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s="13" customFormat="1"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s="13" customFormat="1"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s="13" customFormat="1"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s="13" customFormat="1"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s="13" customFormat="1"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s="13" customFormat="1"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s="13" customFormat="1"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s="13" customFormat="1"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s="13" customFormat="1"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s="13" customFormat="1"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s="13" customFormat="1"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s="13" customFormat="1"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s="13" customFormat="1"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s="13" customFormat="1"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s="13" customFormat="1"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s="13" customFormat="1"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s="13" customFormat="1"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s="13" customFormat="1"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s="13" customFormat="1"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s="13" customFormat="1"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s="13" customFormat="1"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s="13" customFormat="1"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s="13" customFormat="1"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s="13" customFormat="1"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s="13" customFormat="1"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s="13" customFormat="1"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s="13" customFormat="1"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s="13" customFormat="1"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s="13" customFormat="1"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s="13" customFormat="1"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s="13" customFormat="1"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s="13" customFormat="1"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s="13" customFormat="1"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s="13" customFormat="1"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s="13" customFormat="1"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s="13" customFormat="1"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s="13" customFormat="1"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s="13" customFormat="1"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s="13" customFormat="1"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s="13" customFormat="1"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s="13" customFormat="1"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s="13" customFormat="1"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s="13" customFormat="1"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s="13" customFormat="1"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s="13" customFormat="1"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s="13" customFormat="1"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s="13" customFormat="1"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s="13" customFormat="1"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s="13" customFormat="1"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s="13" customFormat="1"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s="13" customFormat="1"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s="13" customFormat="1"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s="13" customFormat="1"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s="13" customFormat="1"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s="13" customFormat="1"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s="13" customFormat="1"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s="13" customFormat="1"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s="13" customFormat="1"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s="13" customFormat="1"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s="13" customFormat="1"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s="13" customFormat="1"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s="13" customFormat="1"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s="13" customFormat="1"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s="13" customFormat="1"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s="13" customFormat="1"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s="13" customFormat="1"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s="13" customFormat="1"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s="13" customFormat="1"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s="13" customFormat="1"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s="13" customFormat="1"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s="13" customFormat="1"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s="13" customFormat="1"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s="13" customFormat="1"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s="13" customFormat="1"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s="13" customFormat="1"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s="13" customFormat="1"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s="13" customFormat="1"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s="13" customFormat="1"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s="13" customFormat="1"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s="13" customFormat="1"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s="13" customFormat="1"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s="13" customFormat="1"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s="13" customFormat="1"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s="13" customFormat="1"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s="13" customFormat="1"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s="13" customFormat="1" x14ac:dyDescent="0.25">
      <c r="A746" s="11" t="s">
        <v>105516</v>
      </c>
      <c r="B746" s="11" t="s">
        <v>105573</v>
      </c>
      <c r="C746" s="11" t="s">
        <v>105573</v>
      </c>
      <c r="D746" s="11" t="s">
        <v>105573</v>
      </c>
      <c r="E746" s="11" t="s">
        <v>105550</v>
      </c>
      <c r="F746" s="11" t="s">
        <v>105528</v>
      </c>
      <c r="G746" s="11" t="s">
        <v>105675</v>
      </c>
      <c r="H746" s="11"/>
      <c r="I746" s="11"/>
      <c r="J746" s="12" t="s">
        <v>106881</v>
      </c>
      <c r="K746" s="12" t="s">
        <v>106882</v>
      </c>
      <c r="L746" s="11" t="s">
        <v>105497</v>
      </c>
      <c r="M746" s="12"/>
      <c r="N746" s="11" t="s">
        <v>105518</v>
      </c>
      <c r="O746" s="11" t="s">
        <v>105518</v>
      </c>
      <c r="P746" s="11" t="s">
        <v>105518</v>
      </c>
      <c r="Q746" s="11" t="s">
        <v>105518</v>
      </c>
      <c r="R746" s="11" t="s">
        <v>105518</v>
      </c>
    </row>
    <row r="747" spans="1:18" s="13" customFormat="1"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s="13" customFormat="1"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s="13" customFormat="1"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s="13" customFormat="1"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s="13" customFormat="1"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s="13" customFormat="1"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s="13" customFormat="1"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s="13" customFormat="1"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s="13" customFormat="1"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s="13" customFormat="1"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s="13" customFormat="1"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s="13" customFormat="1"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s="13" customFormat="1"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s="13" customFormat="1"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s="13" customFormat="1"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s="13" customFormat="1"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s="13" customFormat="1"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s="13" customFormat="1"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s="13" customFormat="1"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s="13" customFormat="1"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s="13" customFormat="1"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s="13" customFormat="1"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s="13" customFormat="1"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s="13" customFormat="1"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s="13" customFormat="1"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s="13" customFormat="1"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s="13" customFormat="1"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s="13" customFormat="1"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s="13" customFormat="1"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s="13" customFormat="1"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s="13" customFormat="1"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s="13" customFormat="1"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s="13" customFormat="1"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s="13" customFormat="1"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s="13" customFormat="1"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s="13" customFormat="1"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s="13" customFormat="1"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s="13" customFormat="1"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s="13" customFormat="1"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s="13" customFormat="1"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s="13" customFormat="1"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s="13" customFormat="1"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s="13" customFormat="1"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s="13" customFormat="1"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s="13" customFormat="1"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s="13" customFormat="1"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s="13" customFormat="1"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s="13" customFormat="1"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s="13" customFormat="1"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s="13" customFormat="1"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s="13" customFormat="1"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s="13" customFormat="1"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s="13" customFormat="1"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s="13" customFormat="1"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s="13" customFormat="1"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s="13" customFormat="1"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s="13" customFormat="1"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s="13" customFormat="1"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s="13" customFormat="1"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s="13" customFormat="1"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s="13" customFormat="1"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s="13" customFormat="1"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s="13" customFormat="1"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s="13" customFormat="1"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s="13" customFormat="1"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s="13" customFormat="1"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s="13" customFormat="1"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s="13" customFormat="1"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s="13" customFormat="1"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s="13" customFormat="1"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s="13" customFormat="1"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s="13" customFormat="1"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s="13" customFormat="1"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s="13" customFormat="1"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s="13" customFormat="1"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s="13" customFormat="1"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s="13" customFormat="1"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s="13" customFormat="1"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s="13" customFormat="1"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s="13" customFormat="1"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s="13" customFormat="1"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s="13" customFormat="1"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s="13" customFormat="1"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s="13" customFormat="1"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s="13" customFormat="1"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s="13" customFormat="1"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s="13" customFormat="1"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s="13" customFormat="1"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s="13" customFormat="1"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s="13" customFormat="1"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s="13" customFormat="1"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s="13" customFormat="1"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s="13" customFormat="1"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s="13" customFormat="1"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s="13" customFormat="1"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s="13" customFormat="1"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s="13" customFormat="1"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s="13" customFormat="1"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s="13" customFormat="1"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s="13" customFormat="1"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s="13" customFormat="1"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s="13" customFormat="1"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s="13" customFormat="1"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s="13" customFormat="1"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s="13" customFormat="1" x14ac:dyDescent="0.25">
      <c r="A851" s="11" t="s">
        <v>105516</v>
      </c>
      <c r="B851" s="11" t="s">
        <v>105573</v>
      </c>
      <c r="C851" s="11" t="s">
        <v>105573</v>
      </c>
      <c r="D851" s="11" t="s">
        <v>105573</v>
      </c>
      <c r="E851" s="11" t="s">
        <v>105553</v>
      </c>
      <c r="F851" s="11" t="s">
        <v>105550</v>
      </c>
      <c r="G851" s="11"/>
      <c r="H851" s="11"/>
      <c r="I851" s="11"/>
      <c r="J851" s="12" t="s">
        <v>107091</v>
      </c>
      <c r="K851" s="12" t="s">
        <v>107092</v>
      </c>
      <c r="L851" s="11" t="s">
        <v>105497</v>
      </c>
      <c r="M851" s="12"/>
      <c r="N851" s="11" t="s">
        <v>105533</v>
      </c>
      <c r="O851" s="11" t="s">
        <v>105534</v>
      </c>
      <c r="P851" s="11" t="s">
        <v>105518</v>
      </c>
      <c r="Q851" s="11" t="s">
        <v>105533</v>
      </c>
      <c r="R851" s="11" t="s">
        <v>105518</v>
      </c>
    </row>
    <row r="852" spans="1:18" s="13" customFormat="1" x14ac:dyDescent="0.25">
      <c r="A852" s="11" t="s">
        <v>105516</v>
      </c>
      <c r="B852" s="11" t="s">
        <v>105573</v>
      </c>
      <c r="C852" s="11" t="s">
        <v>105573</v>
      </c>
      <c r="D852" s="11" t="s">
        <v>105573</v>
      </c>
      <c r="E852" s="11" t="s">
        <v>105553</v>
      </c>
      <c r="F852" s="11" t="s">
        <v>105550</v>
      </c>
      <c r="G852" s="11" t="s">
        <v>105520</v>
      </c>
      <c r="H852" s="11"/>
      <c r="I852" s="11"/>
      <c r="J852" s="12" t="s">
        <v>107093</v>
      </c>
      <c r="K852" s="12" t="s">
        <v>107094</v>
      </c>
      <c r="L852" s="11" t="s">
        <v>105497</v>
      </c>
      <c r="M852" s="12"/>
      <c r="N852" s="11" t="s">
        <v>105518</v>
      </c>
      <c r="O852" s="11" t="s">
        <v>105518</v>
      </c>
      <c r="P852" s="11" t="s">
        <v>105518</v>
      </c>
      <c r="Q852" s="11" t="s">
        <v>105518</v>
      </c>
      <c r="R852" s="11" t="s">
        <v>105518</v>
      </c>
    </row>
    <row r="853" spans="1:18" s="13" customFormat="1" x14ac:dyDescent="0.25">
      <c r="A853" s="11" t="s">
        <v>105516</v>
      </c>
      <c r="B853" s="11" t="s">
        <v>105573</v>
      </c>
      <c r="C853" s="11" t="s">
        <v>105573</v>
      </c>
      <c r="D853" s="11" t="s">
        <v>105573</v>
      </c>
      <c r="E853" s="11" t="s">
        <v>105553</v>
      </c>
      <c r="F853" s="11" t="s">
        <v>105550</v>
      </c>
      <c r="G853" s="11" t="s">
        <v>105520</v>
      </c>
      <c r="H853" s="11" t="s">
        <v>105576</v>
      </c>
      <c r="I853" s="11"/>
      <c r="J853" s="12" t="s">
        <v>107095</v>
      </c>
      <c r="K853" s="12" t="s">
        <v>107096</v>
      </c>
      <c r="L853" s="11" t="s">
        <v>105497</v>
      </c>
      <c r="M853" s="12"/>
      <c r="N853" s="11" t="s">
        <v>105518</v>
      </c>
      <c r="O853" s="11" t="s">
        <v>105518</v>
      </c>
      <c r="P853" s="11" t="s">
        <v>105533</v>
      </c>
      <c r="Q853" s="11" t="s">
        <v>105518</v>
      </c>
      <c r="R853" s="11" t="s">
        <v>105533</v>
      </c>
    </row>
    <row r="854" spans="1:18" s="13" customFormat="1" x14ac:dyDescent="0.25">
      <c r="A854" s="11" t="s">
        <v>105516</v>
      </c>
      <c r="B854" s="11" t="s">
        <v>105573</v>
      </c>
      <c r="C854" s="11" t="s">
        <v>105573</v>
      </c>
      <c r="D854" s="11" t="s">
        <v>105573</v>
      </c>
      <c r="E854" s="11" t="s">
        <v>105553</v>
      </c>
      <c r="F854" s="11" t="s">
        <v>105550</v>
      </c>
      <c r="G854" s="11" t="s">
        <v>105520</v>
      </c>
      <c r="H854" s="11" t="s">
        <v>105579</v>
      </c>
      <c r="I854" s="11"/>
      <c r="J854" s="12" t="s">
        <v>107097</v>
      </c>
      <c r="K854" s="12" t="s">
        <v>107098</v>
      </c>
      <c r="L854" s="11" t="s">
        <v>105497</v>
      </c>
      <c r="M854" s="12"/>
      <c r="N854" s="11" t="s">
        <v>105518</v>
      </c>
      <c r="O854" s="11" t="s">
        <v>105518</v>
      </c>
      <c r="P854" s="11" t="s">
        <v>105533</v>
      </c>
      <c r="Q854" s="11" t="s">
        <v>105518</v>
      </c>
      <c r="R854" s="11" t="s">
        <v>105533</v>
      </c>
    </row>
    <row r="855" spans="1:18" s="13" customFormat="1" x14ac:dyDescent="0.25">
      <c r="A855" s="11" t="s">
        <v>105516</v>
      </c>
      <c r="B855" s="11" t="s">
        <v>105573</v>
      </c>
      <c r="C855" s="11" t="s">
        <v>105573</v>
      </c>
      <c r="D855" s="11" t="s">
        <v>105573</v>
      </c>
      <c r="E855" s="11" t="s">
        <v>105553</v>
      </c>
      <c r="F855" s="11" t="s">
        <v>105550</v>
      </c>
      <c r="G855" s="11" t="s">
        <v>105520</v>
      </c>
      <c r="H855" s="11" t="s">
        <v>106211</v>
      </c>
      <c r="I855" s="11"/>
      <c r="J855" s="12" t="s">
        <v>107099</v>
      </c>
      <c r="K855" s="12" t="s">
        <v>107100</v>
      </c>
      <c r="L855" s="11" t="s">
        <v>105497</v>
      </c>
      <c r="M855" s="12"/>
      <c r="N855" s="11" t="s">
        <v>105518</v>
      </c>
      <c r="O855" s="11" t="s">
        <v>105518</v>
      </c>
      <c r="P855" s="11" t="s">
        <v>105533</v>
      </c>
      <c r="Q855" s="11" t="s">
        <v>105518</v>
      </c>
      <c r="R855" s="11" t="s">
        <v>105533</v>
      </c>
    </row>
    <row r="856" spans="1:18" s="13" customFormat="1" x14ac:dyDescent="0.25">
      <c r="A856" s="11" t="s">
        <v>105516</v>
      </c>
      <c r="B856" s="11" t="s">
        <v>105573</v>
      </c>
      <c r="C856" s="11" t="s">
        <v>105573</v>
      </c>
      <c r="D856" s="11" t="s">
        <v>105573</v>
      </c>
      <c r="E856" s="11" t="s">
        <v>105553</v>
      </c>
      <c r="F856" s="11" t="s">
        <v>105550</v>
      </c>
      <c r="G856" s="11" t="s">
        <v>105520</v>
      </c>
      <c r="H856" s="11" t="s">
        <v>106214</v>
      </c>
      <c r="I856" s="11"/>
      <c r="J856" s="12" t="s">
        <v>107101</v>
      </c>
      <c r="K856" s="12" t="s">
        <v>107102</v>
      </c>
      <c r="L856" s="11" t="s">
        <v>105497</v>
      </c>
      <c r="M856" s="12"/>
      <c r="N856" s="11" t="s">
        <v>105518</v>
      </c>
      <c r="O856" s="11" t="s">
        <v>105518</v>
      </c>
      <c r="P856" s="11" t="s">
        <v>105533</v>
      </c>
      <c r="Q856" s="11" t="s">
        <v>105518</v>
      </c>
      <c r="R856" s="11" t="s">
        <v>105533</v>
      </c>
    </row>
    <row r="857" spans="1:18" s="13" customFormat="1" x14ac:dyDescent="0.25">
      <c r="A857" s="11" t="s">
        <v>105516</v>
      </c>
      <c r="B857" s="11" t="s">
        <v>105573</v>
      </c>
      <c r="C857" s="11" t="s">
        <v>105573</v>
      </c>
      <c r="D857" s="11" t="s">
        <v>105573</v>
      </c>
      <c r="E857" s="11" t="s">
        <v>105553</v>
      </c>
      <c r="F857" s="11" t="s">
        <v>105550</v>
      </c>
      <c r="G857" s="11" t="s">
        <v>105520</v>
      </c>
      <c r="H857" s="11" t="s">
        <v>106217</v>
      </c>
      <c r="I857" s="11"/>
      <c r="J857" s="12" t="s">
        <v>107103</v>
      </c>
      <c r="K857" s="12" t="s">
        <v>107104</v>
      </c>
      <c r="L857" s="11" t="s">
        <v>105497</v>
      </c>
      <c r="M857" s="12"/>
      <c r="N857" s="11" t="s">
        <v>105518</v>
      </c>
      <c r="O857" s="11" t="s">
        <v>105518</v>
      </c>
      <c r="P857" s="11" t="s">
        <v>105533</v>
      </c>
      <c r="Q857" s="11" t="s">
        <v>105518</v>
      </c>
      <c r="R857" s="11" t="s">
        <v>105533</v>
      </c>
    </row>
    <row r="858" spans="1:18" s="13" customFormat="1"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s="13" customFormat="1"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s="13" customFormat="1"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s="13" customFormat="1"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s="13" customFormat="1"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s="13" customFormat="1"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s="13" customFormat="1"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s="13" customFormat="1"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s="13" customFormat="1"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s="13" customFormat="1"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s="13" customFormat="1"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s="13" customFormat="1"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s="13" customFormat="1"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s="13" customFormat="1"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s="13" customFormat="1"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s="13" customFormat="1"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s="13" customFormat="1"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s="13" customFormat="1"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s="13" customFormat="1"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s="13" customFormat="1"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s="13" customFormat="1"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s="13" customFormat="1"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s="13" customFormat="1"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s="13" customFormat="1"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s="13" customFormat="1"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s="13" customFormat="1"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s="13" customFormat="1"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s="13" customFormat="1"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s="13" customFormat="1"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s="13" customFormat="1"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s="13" customFormat="1"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s="13" customFormat="1"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s="13" customFormat="1"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s="13" customFormat="1"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s="13" customFormat="1"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s="13" customFormat="1"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s="13" customFormat="1"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s="13" customFormat="1"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s="13" customFormat="1"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s="13" customFormat="1"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s="13" customFormat="1"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s="13" customFormat="1"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s="13" customFormat="1"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s="13" customFormat="1"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s="13" customFormat="1"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s="13" customFormat="1"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s="13" customFormat="1"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s="13" customFormat="1"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s="13" customFormat="1"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s="13" customFormat="1"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s="13" customFormat="1"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s="13" customFormat="1"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s="13" customFormat="1"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s="13" customFormat="1"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s="13" customFormat="1"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s="13" customFormat="1"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s="13" customFormat="1"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s="13" customFormat="1"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s="13" customFormat="1"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s="13" customFormat="1"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s="13" customFormat="1"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s="13" customFormat="1"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s="13" customFormat="1"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s="13" customFormat="1"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s="13" customFormat="1"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s="13" customFormat="1"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s="13" customFormat="1"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s="13" customFormat="1"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s="13" customFormat="1"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s="13" customFormat="1"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s="13" customFormat="1"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s="13" customFormat="1" hidden="1"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s="13" customFormat="1" hidden="1"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s="13" customFormat="1" hidden="1"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s="13" customFormat="1" hidden="1"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s="13" customFormat="1" hidden="1"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s="13" customFormat="1" hidden="1"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s="13" customFormat="1" hidden="1"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s="13" customFormat="1" hidden="1"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s="13" customFormat="1" hidden="1"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s="13" customFormat="1" hidden="1"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s="13" customFormat="1" hidden="1"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s="13" customFormat="1" hidden="1"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s="13" customFormat="1" hidden="1"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s="13" customFormat="1" hidden="1"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s="13" customFormat="1" hidden="1"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s="13" customFormat="1" hidden="1"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s="13" customFormat="1" hidden="1"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s="13" customFormat="1" hidden="1"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s="13" customFormat="1" hidden="1"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s="13" customFormat="1" hidden="1"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s="13" customFormat="1" hidden="1"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s="13" customFormat="1" hidden="1"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s="13" customFormat="1" hidden="1"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s="13" customFormat="1" hidden="1"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s="13" customFormat="1" hidden="1"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s="13" customFormat="1" hidden="1"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s="13" customFormat="1" hidden="1"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s="13" customFormat="1" hidden="1"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s="13" customFormat="1" hidden="1"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s="13" customFormat="1" hidden="1"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s="13" customFormat="1" hidden="1"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s="13" customFormat="1" hidden="1"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s="13" customFormat="1" hidden="1"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s="13" customFormat="1" hidden="1"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s="13" customFormat="1" hidden="1"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s="13" customFormat="1" hidden="1"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s="13" customFormat="1" hidden="1"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s="13" customFormat="1" hidden="1"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s="13" customFormat="1" hidden="1"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s="13" customFormat="1" hidden="1"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s="13" customFormat="1" hidden="1"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s="13" customFormat="1" hidden="1"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s="13" customFormat="1" hidden="1"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s="13" customFormat="1" hidden="1"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s="13" customFormat="1" hidden="1"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s="13" customFormat="1" hidden="1"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s="13" customFormat="1" hidden="1"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s="13" customFormat="1" hidden="1"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s="13" customFormat="1" hidden="1"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s="13" customFormat="1" hidden="1"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s="13" customFormat="1" hidden="1"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s="13" customFormat="1" hidden="1"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s="13" customFormat="1" hidden="1"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s="13" customFormat="1" hidden="1"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s="13" customFormat="1" hidden="1"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s="13" customFormat="1" hidden="1"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s="13" customFormat="1" hidden="1"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s="13" customFormat="1" hidden="1"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s="13" customFormat="1" hidden="1"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s="13" customFormat="1" hidden="1"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s="13" customFormat="1" hidden="1"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s="13" customFormat="1" hidden="1"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s="13" customFormat="1" hidden="1"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s="13" customFormat="1" hidden="1"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s="13" customFormat="1" hidden="1"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s="13" customFormat="1" hidden="1"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s="13" customFormat="1" hidden="1"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s="13" customFormat="1" hidden="1"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s="13" customFormat="1" hidden="1"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s="13" customFormat="1" hidden="1"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s="13" customFormat="1" hidden="1"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s="13" customFormat="1" hidden="1"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s="13" customFormat="1" hidden="1"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s="13" customFormat="1" hidden="1"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s="13" customFormat="1" hidden="1"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s="13" customFormat="1" hidden="1"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s="13" customFormat="1" hidden="1"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s="13" customFormat="1" hidden="1"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s="13" customFormat="1" hidden="1"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s="13" customFormat="1" hidden="1"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s="13" customFormat="1" hidden="1"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s="13" customFormat="1" hidden="1"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s="13" customFormat="1" hidden="1"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s="13" customFormat="1" hidden="1"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s="13" customFormat="1" hidden="1"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s="13" customFormat="1" hidden="1"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s="13" customFormat="1" hidden="1"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s="13" customFormat="1" hidden="1"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s="13" customFormat="1" hidden="1"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s="13" customFormat="1" hidden="1"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s="13" customFormat="1" hidden="1"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s="13" customFormat="1" hidden="1"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s="13" customFormat="1" hidden="1"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s="13" customFormat="1" hidden="1"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s="13" customFormat="1" hidden="1"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s="13" customFormat="1" hidden="1"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s="13" customFormat="1" hidden="1"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s="13" customFormat="1" hidden="1"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s="13" customFormat="1" hidden="1"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s="13" customFormat="1" hidden="1"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s="13" customFormat="1" hidden="1"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s="13" customFormat="1" hidden="1"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s="13" customFormat="1" hidden="1"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s="13" customFormat="1" hidden="1"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s="13" customFormat="1" hidden="1"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s="13" customFormat="1" hidden="1"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s="13" customFormat="1" hidden="1"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s="13" customFormat="1" hidden="1"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s="13" customFormat="1" hidden="1"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s="13" customFormat="1" hidden="1"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s="13" customFormat="1" hidden="1"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s="13" customFormat="1" hidden="1"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s="13" customFormat="1" hidden="1"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s="13" customFormat="1" hidden="1"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s="13" customFormat="1" hidden="1"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s="13" customFormat="1" hidden="1"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s="13" customFormat="1" hidden="1"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s="13" customFormat="1" hidden="1"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s="13" customFormat="1" hidden="1"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s="13" customFormat="1" hidden="1"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s="13" customFormat="1" hidden="1"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s="13" customFormat="1" hidden="1"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s="13" customFormat="1" hidden="1"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s="13" customFormat="1" hidden="1"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s="13" customFormat="1" hidden="1"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s="13" customFormat="1" hidden="1"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s="13" customFormat="1" hidden="1"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s="13" customFormat="1" hidden="1"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s="13" customFormat="1" hidden="1"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s="13" customFormat="1" hidden="1"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s="13" customFormat="1" hidden="1"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s="13" customFormat="1" hidden="1"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s="13" customFormat="1" hidden="1"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s="13" customFormat="1" hidden="1"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s="13" customFormat="1" hidden="1"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s="13" customFormat="1" hidden="1"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s="13" customFormat="1" hidden="1"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s="13" customFormat="1" hidden="1"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s="13" customFormat="1" hidden="1"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s="13" customFormat="1" hidden="1"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s="13" customFormat="1" hidden="1"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s="13" customFormat="1" hidden="1"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s="13" customFormat="1" hidden="1"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s="13" customFormat="1" hidden="1"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s="13" customFormat="1" hidden="1"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s="13" customFormat="1" hidden="1"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s="13" customFormat="1" hidden="1"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s="13" customFormat="1" hidden="1"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s="13" customFormat="1" hidden="1"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s="13" customFormat="1" hidden="1"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s="13" customFormat="1" hidden="1"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s="13" customFormat="1" hidden="1"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s="13" customFormat="1" hidden="1"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s="13" customFormat="1" hidden="1"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s="13" customFormat="1" hidden="1"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s="13" customFormat="1" hidden="1"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s="13" customFormat="1" hidden="1"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s="13" customFormat="1" hidden="1"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s="13" customFormat="1" hidden="1"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s="13" customFormat="1" hidden="1"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s="13" customFormat="1" hidden="1"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s="13" customFormat="1" hidden="1"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s="13" customFormat="1" hidden="1"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s="13" customFormat="1" hidden="1"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s="13" customFormat="1" hidden="1"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s="13" customFormat="1" hidden="1"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s="13" customFormat="1" hidden="1"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s="13" customFormat="1" hidden="1"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s="13" customFormat="1" hidden="1"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s="13" customFormat="1" hidden="1"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s="13" customFormat="1" hidden="1"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s="13" customFormat="1" hidden="1"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s="13" customFormat="1" hidden="1"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s="13" customFormat="1" hidden="1"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s="13" customFormat="1" hidden="1"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s="13" customFormat="1" hidden="1"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s="13" customFormat="1" hidden="1"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s="13" customFormat="1" hidden="1"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s="13" customFormat="1" hidden="1"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s="13" customFormat="1" hidden="1"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s="13" customFormat="1" hidden="1"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s="13" customFormat="1" hidden="1"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s="13" customFormat="1" hidden="1"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s="13" customFormat="1" hidden="1"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s="13" customFormat="1" hidden="1"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s="13" customFormat="1" hidden="1"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s="13" customFormat="1" hidden="1"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s="13" customFormat="1" hidden="1"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s="13" customFormat="1" hidden="1"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s="13" customFormat="1" hidden="1"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s="13" customFormat="1" hidden="1"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s="13" customFormat="1" hidden="1"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s="13" customFormat="1" hidden="1"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s="13" customFormat="1" hidden="1"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s="13" customFormat="1" hidden="1"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s="13" customFormat="1" hidden="1"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s="13" customFormat="1" hidden="1"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s="13" customFormat="1" hidden="1"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s="13" customFormat="1" hidden="1"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s="13" customFormat="1" hidden="1"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s="13" customFormat="1" hidden="1"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s="13" customFormat="1" hidden="1"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s="13" customFormat="1" hidden="1"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s="13" customFormat="1" hidden="1"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s="13" customFormat="1" hidden="1"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s="13" customFormat="1" hidden="1"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s="13" customFormat="1" hidden="1"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s="13" customFormat="1" hidden="1"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s="13" customFormat="1" hidden="1"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s="13" customFormat="1" hidden="1"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s="13" customFormat="1" hidden="1"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s="13" customFormat="1" hidden="1"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s="13" customFormat="1" hidden="1"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s="13" customFormat="1" hidden="1"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s="13" customFormat="1" hidden="1"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s="13" customFormat="1" hidden="1"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s="13" customFormat="1" hidden="1"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s="13" customFormat="1" hidden="1"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s="13" customFormat="1" hidden="1"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s="13" customFormat="1" hidden="1"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s="13" customFormat="1" hidden="1"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s="13" customFormat="1" hidden="1"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s="13" customFormat="1" hidden="1"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s="13" customFormat="1" hidden="1"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s="13" customFormat="1" hidden="1"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s="13" customFormat="1" hidden="1"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s="13" customFormat="1" hidden="1"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s="13" customFormat="1" hidden="1"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s="13" customFormat="1" hidden="1"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s="13" customFormat="1" hidden="1"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s="13" customFormat="1" hidden="1"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s="13" customFormat="1" hidden="1"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s="13" customFormat="1" hidden="1"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s="13" customFormat="1" hidden="1"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s="13" customFormat="1" hidden="1"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s="13" customFormat="1" hidden="1"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s="13" customFormat="1" hidden="1"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s="13" customFormat="1" hidden="1"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s="13" customFormat="1" hidden="1"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s="13" customFormat="1" hidden="1"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s="13" customFormat="1" hidden="1"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s="13" customFormat="1" hidden="1"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s="13" customFormat="1" hidden="1"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s="13" customFormat="1" hidden="1"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s="13" customFormat="1" hidden="1"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s="13" customFormat="1" hidden="1"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s="13" customFormat="1" hidden="1"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s="13" customFormat="1" hidden="1"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s="13" customFormat="1" hidden="1"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s="13" customFormat="1" hidden="1"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s="13" customFormat="1" hidden="1"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s="13" customFormat="1" hidden="1"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s="13" customFormat="1" hidden="1"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s="13" customFormat="1" hidden="1"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s="13" customFormat="1" hidden="1"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s="13" customFormat="1" hidden="1"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s="13" customFormat="1" hidden="1"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s="13" customFormat="1" hidden="1"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s="13" customFormat="1" hidden="1"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s="13" customFormat="1" hidden="1"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s="13" customFormat="1" hidden="1"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s="13" customFormat="1" hidden="1"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s="13" customFormat="1" hidden="1"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s="13" customFormat="1" hidden="1"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s="13" customFormat="1" hidden="1"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s="13" customFormat="1" hidden="1"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s="13" customFormat="1" hidden="1"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s="13" customFormat="1" hidden="1"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s="13" customFormat="1" hidden="1"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s="13" customFormat="1" hidden="1"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s="13" customFormat="1" hidden="1"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s="13" customFormat="1" hidden="1"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s="13" customFormat="1" hidden="1"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s="13" customFormat="1" hidden="1"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s="13" customFormat="1" hidden="1"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s="13" customFormat="1" hidden="1"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s="13" customFormat="1" hidden="1"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s="13" customFormat="1" hidden="1"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s="13" customFormat="1" hidden="1"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s="13" customFormat="1" hidden="1"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s="13" customFormat="1" hidden="1"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s="13" customFormat="1" hidden="1"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s="13" customFormat="1" hidden="1"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s="13" customFormat="1" hidden="1"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s="13" customFormat="1" hidden="1"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s="13" customFormat="1" hidden="1"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s="13" customFormat="1" hidden="1"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s="13" customFormat="1" hidden="1"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s="13" customFormat="1" hidden="1"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s="13" customFormat="1" hidden="1"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s="13" customFormat="1" hidden="1"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s="13" customFormat="1" hidden="1"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s="13" customFormat="1" hidden="1"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s="13" customFormat="1" hidden="1"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s="13" customFormat="1" hidden="1"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s="13" customFormat="1" hidden="1"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s="13" customFormat="1" hidden="1"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s="13" customFormat="1" hidden="1"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s="13" customFormat="1" hidden="1"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s="13" customFormat="1" hidden="1"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s="13" customFormat="1" hidden="1"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s="13" customFormat="1" hidden="1"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s="13" customFormat="1" hidden="1"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s="13" customFormat="1" hidden="1"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s="13" customFormat="1" hidden="1"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s="13" customFormat="1" hidden="1"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s="13" customFormat="1" hidden="1"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s="13" customFormat="1" hidden="1"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s="13" customFormat="1" hidden="1"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s="13" customFormat="1" hidden="1"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s="13" customFormat="1" hidden="1"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s="13" customFormat="1" hidden="1"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s="13" customFormat="1" hidden="1"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s="13" customFormat="1" hidden="1"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s="13" customFormat="1" hidden="1"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s="13" customFormat="1" hidden="1"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s="13" customFormat="1" hidden="1"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s="13" customFormat="1" hidden="1"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s="13" customFormat="1" hidden="1"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s="13" customFormat="1" hidden="1"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s="13" customFormat="1" hidden="1"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s="13" customFormat="1" hidden="1"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s="13" customFormat="1" hidden="1"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s="13" customFormat="1" hidden="1"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s="13" customFormat="1" hidden="1"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s="13" customFormat="1" hidden="1"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s="13" customFormat="1" hidden="1"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s="13" customFormat="1" hidden="1"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s="13" customFormat="1" hidden="1"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s="13" customFormat="1" hidden="1"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s="13" customFormat="1" hidden="1"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s="13" customFormat="1" hidden="1"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s="13" customFormat="1" hidden="1"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s="13" customFormat="1" hidden="1"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s="13" customFormat="1" hidden="1"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s="13" customFormat="1" hidden="1"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s="13" customFormat="1" hidden="1"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s="13" customFormat="1" hidden="1"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s="13" customFormat="1" hidden="1"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s="13" customFormat="1" hidden="1"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s="13" customFormat="1" hidden="1"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s="13" customFormat="1" hidden="1"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s="13" customFormat="1" hidden="1"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s="13" customFormat="1" hidden="1"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s="13" customFormat="1" hidden="1"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s="13" customFormat="1" hidden="1"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s="13" customFormat="1" hidden="1"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s="13" customFormat="1" hidden="1"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s="13" customFormat="1" hidden="1"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s="13" customFormat="1" hidden="1"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s="13" customFormat="1" hidden="1"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s="13" customFormat="1" hidden="1"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s="13" customFormat="1" hidden="1"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s="13" customFormat="1" hidden="1"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s="13" customFormat="1" hidden="1"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s="13" customFormat="1" hidden="1"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s="13" customFormat="1" hidden="1"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s="13" customFormat="1" hidden="1"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s="13" customFormat="1" hidden="1"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s="13" customFormat="1" hidden="1"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s="13" customFormat="1" hidden="1"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s="13" customFormat="1" hidden="1"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s="13" customFormat="1" hidden="1"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s="13" customFormat="1" hidden="1"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s="13" customFormat="1" hidden="1"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s="13" customFormat="1" hidden="1"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s="13" customFormat="1" hidden="1"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s="13" customFormat="1" hidden="1"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s="13" customFormat="1" hidden="1"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s="13" customFormat="1" hidden="1"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s="13" customFormat="1" hidden="1"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s="13" customFormat="1" hidden="1"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s="13" customFormat="1" hidden="1"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s="13" customFormat="1" hidden="1"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s="13" customFormat="1" hidden="1"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s="13" customFormat="1" hidden="1"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s="13" customFormat="1" hidden="1"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s="13" customFormat="1" hidden="1"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s="13" customFormat="1" hidden="1"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s="13" customFormat="1" hidden="1"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s="13" customFormat="1" hidden="1"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s="13" customFormat="1" hidden="1"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s="13" customFormat="1" hidden="1"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s="13" customFormat="1" hidden="1"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s="13" customFormat="1" hidden="1"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s="13" customFormat="1" hidden="1"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s="13" customFormat="1" hidden="1"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s="13" customFormat="1" hidden="1"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s="13" customFormat="1" hidden="1"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s="13" customFormat="1" hidden="1"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s="13" customFormat="1" hidden="1"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s="13" customFormat="1" hidden="1"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s="13" customFormat="1" hidden="1"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s="13" customFormat="1" hidden="1"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s="13" customFormat="1" hidden="1"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s="13" customFormat="1" hidden="1"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s="13" customFormat="1" hidden="1"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s="13" customFormat="1" hidden="1"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s="13" customFormat="1" hidden="1"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s="13" customFormat="1" hidden="1"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s="13" customFormat="1" hidden="1"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s="13" customFormat="1" hidden="1"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s="13" customFormat="1" hidden="1"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s="13" customFormat="1" hidden="1"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s="13" customFormat="1" hidden="1"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s="13" customFormat="1" hidden="1"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s="13" customFormat="1" hidden="1"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s="13" customFormat="1" hidden="1"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s="13" customFormat="1" hidden="1"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s="13" customFormat="1" hidden="1"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s="13" customFormat="1" hidden="1"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s="13" customFormat="1" hidden="1"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s="13" customFormat="1" hidden="1"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s="13" customFormat="1" hidden="1"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s="13" customFormat="1" hidden="1"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s="13" customFormat="1" hidden="1"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s="13" customFormat="1" hidden="1"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s="13" customFormat="1" hidden="1"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s="13" customFormat="1" hidden="1"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s="13" customFormat="1" hidden="1"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s="13" customFormat="1" hidden="1"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s="13" customFormat="1" hidden="1"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s="13" customFormat="1" hidden="1"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s="13" customFormat="1" hidden="1"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s="13" customFormat="1" hidden="1"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s="13" customFormat="1" hidden="1"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s="13" customFormat="1" hidden="1"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s="13" customFormat="1" hidden="1"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s="13" customFormat="1" hidden="1"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s="13" customFormat="1" hidden="1"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s="13" customFormat="1" hidden="1"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s="13" customFormat="1" hidden="1"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s="13" customFormat="1" hidden="1"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s="13" customFormat="1" hidden="1"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s="13" customFormat="1" hidden="1"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s="13" customFormat="1" hidden="1"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s="13" customFormat="1" hidden="1"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s="13" customFormat="1" hidden="1"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s="13" customFormat="1" hidden="1"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s="13" customFormat="1" hidden="1"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s="13" customFormat="1" hidden="1"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s="13" customFormat="1" hidden="1"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s="13" customFormat="1" hidden="1"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s="13" customFormat="1" hidden="1"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s="13" customFormat="1" hidden="1"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s="13" customFormat="1" hidden="1"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s="13" customFormat="1" hidden="1"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s="13" customFormat="1" hidden="1"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s="13" customFormat="1" hidden="1"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s="13" customFormat="1" hidden="1"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s="13" customFormat="1" hidden="1"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s="13" customFormat="1" hidden="1"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s="13" customFormat="1" hidden="1"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s="13" customFormat="1" hidden="1"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s="13" customFormat="1" hidden="1"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s="13" customFormat="1" hidden="1"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s="13" customFormat="1" hidden="1"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s="13" customFormat="1" hidden="1"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s="13" customFormat="1" hidden="1"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s="13" customFormat="1" hidden="1"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s="13" customFormat="1" hidden="1"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s="13" customFormat="1" hidden="1"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s="13" customFormat="1" hidden="1"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s="13" customFormat="1" hidden="1"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s="13" customFormat="1" hidden="1"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s="13" customFormat="1" hidden="1"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s="13" customFormat="1" hidden="1"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s="13" customFormat="1" hidden="1"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s="13" customFormat="1" hidden="1"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s="13" customFormat="1" hidden="1"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s="13" customFormat="1" hidden="1"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s="13" customFormat="1" hidden="1"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s="13" customFormat="1" hidden="1"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s="13" customFormat="1" hidden="1"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s="13" customFormat="1" hidden="1"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s="13" customFormat="1" hidden="1"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s="13" customFormat="1" hidden="1"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s="13" customFormat="1" hidden="1"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s="13" customFormat="1" hidden="1"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s="13" customFormat="1" hidden="1"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s="13" customFormat="1" hidden="1"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s="13" customFormat="1" hidden="1"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s="13" customFormat="1" hidden="1"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s="13" customFormat="1" hidden="1"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s="13" customFormat="1" hidden="1"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s="13" customFormat="1" hidden="1"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s="13" customFormat="1" hidden="1"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s="13" customFormat="1" hidden="1"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s="13" customFormat="1" hidden="1"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s="13" customFormat="1" hidden="1"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s="13" customFormat="1" hidden="1"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s="13" customFormat="1" hidden="1"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s="13" customFormat="1" hidden="1"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s="13" customFormat="1" hidden="1"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s="13" customFormat="1" hidden="1"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s="13" customFormat="1" hidden="1"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s="13" customFormat="1" hidden="1"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s="13" customFormat="1" hidden="1"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s="13" customFormat="1" hidden="1"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s="13" customFormat="1" hidden="1"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s="13" customFormat="1" hidden="1"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s="13" customFormat="1" hidden="1"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s="13" customFormat="1" hidden="1"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s="13" customFormat="1" hidden="1"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s="13" customFormat="1" hidden="1"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s="13" customFormat="1" hidden="1"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s="13" customFormat="1" hidden="1"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s="13" customFormat="1" hidden="1"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s="13" customFormat="1" hidden="1"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s="13" customFormat="1" hidden="1"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s="13" customFormat="1" hidden="1"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s="13" customFormat="1" hidden="1"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s="13" customFormat="1" hidden="1"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s="13" customFormat="1" hidden="1"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s="13" customFormat="1" hidden="1"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s="13" customFormat="1" hidden="1"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s="13" customFormat="1" hidden="1"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s="13" customFormat="1" hidden="1"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s="13" customFormat="1" hidden="1"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s="13" customFormat="1" hidden="1"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s="13" customFormat="1" hidden="1"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s="13" customFormat="1" hidden="1"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s="13" customFormat="1" hidden="1"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s="13" customFormat="1" hidden="1"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s="13" customFormat="1" hidden="1"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s="13" customFormat="1" hidden="1"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s="13" customFormat="1" hidden="1"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s="13" customFormat="1" hidden="1"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s="13" customFormat="1" hidden="1"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s="13" customFormat="1" hidden="1"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s="13" customFormat="1" hidden="1"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s="13" customFormat="1" hidden="1"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s="13" customFormat="1" hidden="1"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s="13" customFormat="1" hidden="1"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s="13" customFormat="1" hidden="1"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s="13" customFormat="1" hidden="1"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s="13" customFormat="1" hidden="1"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s="13" customFormat="1" hidden="1"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s="13" customFormat="1" hidden="1"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s="13" customFormat="1" hidden="1"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s="13" customFormat="1" hidden="1"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s="13" customFormat="1" hidden="1"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s="13" customFormat="1" hidden="1"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s="13" customFormat="1" hidden="1"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s="13" customFormat="1" hidden="1"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s="13" customFormat="1" hidden="1"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s="13" customFormat="1" hidden="1"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s="13" customFormat="1" hidden="1"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s="13" customFormat="1" hidden="1"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s="13" customFormat="1" hidden="1"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s="13" customFormat="1" hidden="1"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s="13" customFormat="1" hidden="1"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s="13" customFormat="1" hidden="1"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s="13" customFormat="1" hidden="1"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s="13" customFormat="1" hidden="1"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s="13" customFormat="1" hidden="1"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s="13" customFormat="1" hidden="1"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s="13" customFormat="1" hidden="1"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s="13" customFormat="1" hidden="1"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s="13" customFormat="1" hidden="1"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s="13" customFormat="1" hidden="1"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s="13" customFormat="1" hidden="1"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s="13" customFormat="1" hidden="1"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s="13" customFormat="1" hidden="1"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s="13" customFormat="1" hidden="1"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s="13" customFormat="1" hidden="1"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s="13" customFormat="1" hidden="1"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s="13" customFormat="1" hidden="1"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s="13" customFormat="1" hidden="1"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s="13" customFormat="1" hidden="1"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s="13" customFormat="1" hidden="1"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s="13" customFormat="1" hidden="1"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s="13" customFormat="1" hidden="1"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s="13" customFormat="1" hidden="1"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s="13" customFormat="1" hidden="1"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s="13" customFormat="1" hidden="1"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s="13" customFormat="1" hidden="1"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s="13" customFormat="1" hidden="1"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s="13" customFormat="1" hidden="1"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s="13" customFormat="1" hidden="1"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s="13" customFormat="1" hidden="1"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s="13" customFormat="1" hidden="1"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s="13" customFormat="1" hidden="1"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s="13" customFormat="1" hidden="1"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s="13" customFormat="1" hidden="1"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s="13" customFormat="1" hidden="1"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s="13" customFormat="1" hidden="1"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s="13" customFormat="1" hidden="1"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s="13" customFormat="1" hidden="1"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s="13" customFormat="1" hidden="1"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s="13" customFormat="1" hidden="1"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s="13" customFormat="1" hidden="1"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s="13" customFormat="1" hidden="1"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s="13" customFormat="1" hidden="1"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s="13" customFormat="1" hidden="1"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s="13" customFormat="1" hidden="1"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s="13" customFormat="1" hidden="1"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s="13" customFormat="1" hidden="1"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s="13" customFormat="1" hidden="1"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s="13" customFormat="1" hidden="1"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s="13" customFormat="1" hidden="1"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s="13" customFormat="1" hidden="1"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s="13" customFormat="1" hidden="1"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s="13" customFormat="1" hidden="1"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s="13" customFormat="1" hidden="1"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s="13" customFormat="1" hidden="1"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s="13" customFormat="1" hidden="1"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s="13" customFormat="1" hidden="1"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s="13" customFormat="1" hidden="1"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s="13" customFormat="1" hidden="1"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s="13" customFormat="1" hidden="1"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s="13" customFormat="1" hidden="1"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s="13" customFormat="1" hidden="1"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s="13" customFormat="1" hidden="1"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s="13" customFormat="1" hidden="1"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s="13" customFormat="1" hidden="1"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s="13" customFormat="1" hidden="1"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s="13" customFormat="1" hidden="1"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s="13" customFormat="1" hidden="1"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s="13" customFormat="1" hidden="1"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s="13" customFormat="1" hidden="1"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s="13" customFormat="1" hidden="1"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s="13" customFormat="1" hidden="1"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s="13" customFormat="1" hidden="1"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s="13" customFormat="1" hidden="1"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s="13" customFormat="1" hidden="1"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s="13" customFormat="1" hidden="1"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s="13" customFormat="1" hidden="1"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s="13" customFormat="1" hidden="1"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s="13" customFormat="1" hidden="1"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s="13" customFormat="1" hidden="1"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s="13" customFormat="1" hidden="1"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s="13" customFormat="1" hidden="1"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s="13" customFormat="1" hidden="1"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s="13" customFormat="1" hidden="1"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s="13" customFormat="1" hidden="1"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s="13" customFormat="1" hidden="1"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s="13" customFormat="1" hidden="1"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s="13" customFormat="1" hidden="1"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s="13" customFormat="1" hidden="1"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s="13" customFormat="1" hidden="1"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s="13" customFormat="1" hidden="1"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s="13" customFormat="1" hidden="1"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s="13" customFormat="1" hidden="1"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s="13" customFormat="1" hidden="1"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s="13" customFormat="1" hidden="1"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s="13" customFormat="1" hidden="1"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s="13" customFormat="1" hidden="1"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s="13" customFormat="1" hidden="1"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s="13" customFormat="1" hidden="1"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s="13" customFormat="1" hidden="1"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s="13" customFormat="1" hidden="1"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s="13" customFormat="1" hidden="1"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s="13" customFormat="1" hidden="1"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s="13" customFormat="1" hidden="1"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s="13" customFormat="1" hidden="1"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s="13" customFormat="1" hidden="1"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s="13" customFormat="1" hidden="1"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s="13" customFormat="1" hidden="1"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s="13" customFormat="1" hidden="1"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s="13" customFormat="1" hidden="1"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s="13" customFormat="1" hidden="1"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s="13" customFormat="1" hidden="1"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s="13" customFormat="1" hidden="1"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s="13" customFormat="1" hidden="1"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s="13" customFormat="1" hidden="1"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s="13" customFormat="1" hidden="1"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s="13" customFormat="1" hidden="1"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s="13" customFormat="1" hidden="1"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s="13" customFormat="1" hidden="1"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s="13" customFormat="1" hidden="1"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s="13" customFormat="1" hidden="1"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s="13" customFormat="1" hidden="1"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s="13" customFormat="1" hidden="1"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s="13" customFormat="1" hidden="1"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s="13" customFormat="1" hidden="1"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s="13" customFormat="1" hidden="1"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s="13" customFormat="1" hidden="1"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s="13" customFormat="1" hidden="1"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s="13" customFormat="1" hidden="1"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s="13" customFormat="1" hidden="1"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s="13" customFormat="1" hidden="1"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s="13" customFormat="1" hidden="1"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s="13" customFormat="1" hidden="1"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s="13" customFormat="1" hidden="1"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s="13" customFormat="1" hidden="1"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s="13" customFormat="1" hidden="1"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s="13" customFormat="1" hidden="1"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s="13" customFormat="1" hidden="1"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s="13" customFormat="1" hidden="1"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s="13" customFormat="1" hidden="1"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s="13" customFormat="1" hidden="1"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s="13" customFormat="1" hidden="1"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s="13" customFormat="1" hidden="1"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s="13" customFormat="1" hidden="1"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s="13" customFormat="1" hidden="1"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s="13" customFormat="1" hidden="1"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s="13" customFormat="1" hidden="1"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s="13" customFormat="1" hidden="1"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s="13" customFormat="1" hidden="1"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s="13" customFormat="1" hidden="1"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s="13" customFormat="1" hidden="1"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s="13" customFormat="1" hidden="1"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s="13" customFormat="1" hidden="1"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s="13" customFormat="1" hidden="1"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s="13" customFormat="1" hidden="1"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s="13" customFormat="1" hidden="1"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s="13" customFormat="1" hidden="1"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s="13" customFormat="1" hidden="1"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s="13" customFormat="1" hidden="1"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s="13" customFormat="1" hidden="1"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s="13" customFormat="1" hidden="1"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s="13" customFormat="1" hidden="1"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s="13" customFormat="1" hidden="1"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s="13" customFormat="1" hidden="1"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s="13" customFormat="1" hidden="1"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s="13" customFormat="1" hidden="1"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s="13" customFormat="1" hidden="1"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s="13" customFormat="1" hidden="1"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s="13" customFormat="1" hidden="1"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s="13" customFormat="1" hidden="1"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s="13" customFormat="1" hidden="1"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s="13" customFormat="1" hidden="1"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s="13" customFormat="1" hidden="1"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s="13" customFormat="1" hidden="1"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s="13" customFormat="1" hidden="1"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s="13" customFormat="1" hidden="1"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s="13" customFormat="1" hidden="1"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s="13" customFormat="1" hidden="1"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s="13" customFormat="1" hidden="1"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s="13" customFormat="1" hidden="1"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s="13" customFormat="1" hidden="1"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s="13" customFormat="1" hidden="1"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s="13" customFormat="1" hidden="1"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s="13" customFormat="1" hidden="1"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s="13" customFormat="1" hidden="1"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s="13" customFormat="1" hidden="1"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s="13" customFormat="1" hidden="1"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s="13" customFormat="1" hidden="1"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s="13" customFormat="1" hidden="1"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s="13" customFormat="1" hidden="1"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s="13" customFormat="1" hidden="1"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s="13" customFormat="1" hidden="1"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s="13" customFormat="1" hidden="1"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s="13" customFormat="1" hidden="1"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s="13" customFormat="1" hidden="1"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s="13" customFormat="1" hidden="1"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s="13" customFormat="1" hidden="1"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s="13" customFormat="1" hidden="1"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s="13" customFormat="1" hidden="1"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s="13" customFormat="1" hidden="1"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s="13" customFormat="1" hidden="1"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s="13" customFormat="1" hidden="1"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s="13" customFormat="1" hidden="1"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s="13" customFormat="1" hidden="1"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s="13" customFormat="1" hidden="1"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s="13" customFormat="1" hidden="1"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s="13" customFormat="1" hidden="1"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s="13" customFormat="1" hidden="1"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s="13" customFormat="1" hidden="1"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s="13" customFormat="1" hidden="1"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s="13" customFormat="1" hidden="1"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s="13" customFormat="1" hidden="1"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s="13" customFormat="1" hidden="1"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s="13" customFormat="1" hidden="1"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s="13" customFormat="1" hidden="1"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s="13" customFormat="1" hidden="1"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s="13" customFormat="1" hidden="1"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s="13" customFormat="1" hidden="1"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s="13" customFormat="1" hidden="1"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s="13" customFormat="1" hidden="1"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s="13" customFormat="1" hidden="1"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s="13" customFormat="1" hidden="1"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s="13" customFormat="1" hidden="1"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s="13" customFormat="1" hidden="1"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s="13" customFormat="1" hidden="1"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s="13" customFormat="1" hidden="1"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s="13" customFormat="1" hidden="1"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s="13" customFormat="1" hidden="1"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s="13" customFormat="1" hidden="1"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s="13" customFormat="1" hidden="1"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s="13" customFormat="1" hidden="1"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s="13" customFormat="1" hidden="1"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s="13" customFormat="1" hidden="1"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s="13" customFormat="1" hidden="1"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s="13" customFormat="1" hidden="1"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s="13" customFormat="1" hidden="1"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s="13" customFormat="1" hidden="1"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s="13" customFormat="1" hidden="1"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s="13" customFormat="1" hidden="1"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s="13" customFormat="1" hidden="1"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s="13" customFormat="1" hidden="1"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s="13" customFormat="1" hidden="1"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s="13" customFormat="1" hidden="1"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s="13" customFormat="1" hidden="1"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s="13" customFormat="1" hidden="1"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s="13" customFormat="1" hidden="1"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s="13" customFormat="1" hidden="1"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s="13" customFormat="1" hidden="1"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s="13" customFormat="1" hidden="1"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s="13" customFormat="1" hidden="1"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s="13" customFormat="1" hidden="1"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s="13" customFormat="1" hidden="1"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s="13" customFormat="1" hidden="1"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s="13" customFormat="1" hidden="1"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s="13" customFormat="1" hidden="1"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s="13" customFormat="1" hidden="1"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s="13" customFormat="1" hidden="1"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s="13" customFormat="1" hidden="1"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s="13" customFormat="1" hidden="1"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s="13" customFormat="1" hidden="1"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s="13" customFormat="1" hidden="1"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s="13" customFormat="1" hidden="1"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s="13" customFormat="1" hidden="1"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s="13" customFormat="1" hidden="1"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s="13" customFormat="1" hidden="1"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s="13" customFormat="1" hidden="1"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s="13" customFormat="1" hidden="1"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s="13" customFormat="1" hidden="1"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s="13" customFormat="1" hidden="1"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s="13" customFormat="1" hidden="1"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s="13" customFormat="1" hidden="1"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s="13" customFormat="1" hidden="1"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s="13" customFormat="1" hidden="1"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s="13" customFormat="1" hidden="1"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s="13" customFormat="1" hidden="1"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s="13" customFormat="1" hidden="1"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s="13" customFormat="1" hidden="1"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s="13" customFormat="1" hidden="1"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s="13" customFormat="1" hidden="1"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s="13" customFormat="1" hidden="1"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s="13" customFormat="1" hidden="1"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s="13" customFormat="1" hidden="1"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s="13" customFormat="1" hidden="1"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s="13" customFormat="1" hidden="1"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s="13" customFormat="1" hidden="1"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s="13" customFormat="1" hidden="1"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s="13" customFormat="1" hidden="1"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s="13" customFormat="1" hidden="1"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s="13" customFormat="1" hidden="1"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s="13" customFormat="1" hidden="1"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s="13" customFormat="1" hidden="1"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s="13" customFormat="1" hidden="1"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s="13" customFormat="1" hidden="1"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s="13" customFormat="1" hidden="1"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s="13" customFormat="1" hidden="1"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s="13" customFormat="1" hidden="1"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s="13" customFormat="1" hidden="1"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s="13" customFormat="1" hidden="1"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s="13" customFormat="1" hidden="1"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s="13" customFormat="1" hidden="1"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s="13" customFormat="1" hidden="1"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s="13" customFormat="1" hidden="1"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s="13" customFormat="1" hidden="1"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s="13" customFormat="1" hidden="1"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s="13" customFormat="1" hidden="1"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s="13" customFormat="1" hidden="1"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s="13" customFormat="1" hidden="1"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s="13" customFormat="1" hidden="1"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s="13" customFormat="1" hidden="1"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s="13" customFormat="1" hidden="1"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s="13" customFormat="1" hidden="1"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s="13" customFormat="1" hidden="1"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s="13" customFormat="1" hidden="1"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s="13" customFormat="1" hidden="1"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s="13" customFormat="1" hidden="1"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s="13" customFormat="1" hidden="1"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s="13" customFormat="1" hidden="1"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s="13" customFormat="1" hidden="1"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s="13" customFormat="1" hidden="1"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s="13" customFormat="1" hidden="1"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s="13" customFormat="1" hidden="1"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s="13" customFormat="1" hidden="1"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s="13" customFormat="1" hidden="1"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s="13" customFormat="1" hidden="1"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s="13" customFormat="1" hidden="1"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s="13" customFormat="1" hidden="1"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s="13" customFormat="1" hidden="1"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s="13" customFormat="1" hidden="1"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s="13" customFormat="1" hidden="1"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s="13" customFormat="1" hidden="1"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s="13" customFormat="1" hidden="1"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s="13" customFormat="1" hidden="1"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s="13" customFormat="1" hidden="1"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s="13" customFormat="1" hidden="1"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s="13" customFormat="1" hidden="1"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s="13" customFormat="1" hidden="1"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s="13" customFormat="1" hidden="1"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s="13" customFormat="1" hidden="1"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s="13" customFormat="1" hidden="1"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s="13" customFormat="1" hidden="1"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s="13" customFormat="1" hidden="1"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s="13" customFormat="1" hidden="1"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s="13" customFormat="1" hidden="1"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s="13" customFormat="1" hidden="1"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s="13" customFormat="1" hidden="1"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s="13" customFormat="1" hidden="1"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s="13" customFormat="1" hidden="1"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s="13" customFormat="1" hidden="1"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s="13" customFormat="1" hidden="1"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s="13" customFormat="1" hidden="1"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s="13" customFormat="1" hidden="1"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s="13" customFormat="1" hidden="1"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s="13" customFormat="1" hidden="1"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s="13" customFormat="1" hidden="1"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s="13" customFormat="1" hidden="1"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s="13" customFormat="1" hidden="1"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s="13" customFormat="1" hidden="1"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s="13" customFormat="1" hidden="1"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s="13" customFormat="1" hidden="1"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s="13" customFormat="1" hidden="1"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s="13" customFormat="1" hidden="1"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s="13" customFormat="1" hidden="1"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s="13" customFormat="1" hidden="1"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s="13" customFormat="1" hidden="1"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s="13" customFormat="1" hidden="1"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s="13" customFormat="1" hidden="1"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s="13" customFormat="1" hidden="1"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s="13" customFormat="1" hidden="1"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s="13" customFormat="1" hidden="1"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s="13" customFormat="1" hidden="1"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s="13" customFormat="1" hidden="1"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s="13" customFormat="1" hidden="1"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s="13" customFormat="1" hidden="1"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s="13" customFormat="1" hidden="1"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s="13" customFormat="1" hidden="1"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s="13" customFormat="1" hidden="1"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s="13" customFormat="1" hidden="1"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s="13" customFormat="1" hidden="1"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s="13" customFormat="1" hidden="1"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s="13" customFormat="1" hidden="1"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s="13" customFormat="1" hidden="1"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s="13" customFormat="1" hidden="1"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s="13" customFormat="1" hidden="1"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s="13" customFormat="1" hidden="1"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s="13" customFormat="1" hidden="1"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s="13" customFormat="1" hidden="1"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s="13" customFormat="1" hidden="1"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s="13" customFormat="1" hidden="1"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s="13" customFormat="1" hidden="1"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s="13" customFormat="1" hidden="1"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s="13" customFormat="1" hidden="1"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s="13" customFormat="1" hidden="1"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s="13" customFormat="1" hidden="1"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s="13" customFormat="1" hidden="1"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s="13" customFormat="1" hidden="1"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s="13" customFormat="1" hidden="1"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s="13" customFormat="1" hidden="1"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s="13" customFormat="1" hidden="1"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s="13" customFormat="1" hidden="1"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s="13" customFormat="1" hidden="1"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s="13" customFormat="1" hidden="1"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s="13" customFormat="1" hidden="1"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s="13" customFormat="1" hidden="1"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s="13" customFormat="1" hidden="1"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s="13" customFormat="1" hidden="1"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s="13" customFormat="1" hidden="1"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s="13" customFormat="1" hidden="1"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s="13" customFormat="1" hidden="1"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s="13" customFormat="1" hidden="1"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s="13" customFormat="1" hidden="1"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s="13" customFormat="1" hidden="1"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s="13" customFormat="1" hidden="1"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s="13" customFormat="1" hidden="1"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s="13" customFormat="1" hidden="1"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s="13" customFormat="1" hidden="1"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s="13" customFormat="1" hidden="1"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s="13" customFormat="1" hidden="1"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s="13" customFormat="1" hidden="1"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s="13" customFormat="1" hidden="1"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s="13" customFormat="1" hidden="1"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s="13" customFormat="1" hidden="1"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s="13" customFormat="1" hidden="1"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s="13" customFormat="1" hidden="1"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s="13" customFormat="1" hidden="1"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s="13" customFormat="1" hidden="1"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s="13" customFormat="1" hidden="1"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s="13" customFormat="1" hidden="1"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s="13" customFormat="1" hidden="1"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s="13" customFormat="1" hidden="1"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s="13" customFormat="1" hidden="1"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s="13" customFormat="1" hidden="1"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s="13" customFormat="1" hidden="1"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s="13" customFormat="1" hidden="1"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s="13" customFormat="1" hidden="1"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s="13" customFormat="1" hidden="1"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s="13" customFormat="1" hidden="1"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s="13" customFormat="1" hidden="1"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s="13" customFormat="1" hidden="1"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s="13" customFormat="1" hidden="1"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s="13" customFormat="1" hidden="1"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s="13" customFormat="1" hidden="1"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s="13" customFormat="1" hidden="1"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s="13" customFormat="1" hidden="1"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s="13" customFormat="1" hidden="1"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s="13" customFormat="1" hidden="1"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s="13" customFormat="1" hidden="1"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s="13" customFormat="1" hidden="1"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s="13" customFormat="1" hidden="1"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s="13" customFormat="1" hidden="1"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s="13" customFormat="1" hidden="1"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s="13" customFormat="1" hidden="1"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s="13" customFormat="1" hidden="1"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s="13" customFormat="1" hidden="1"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s="13" customFormat="1" hidden="1"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s="13" customFormat="1" hidden="1"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s="13" customFormat="1" hidden="1"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s="13" customFormat="1" hidden="1"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s="13" customFormat="1" hidden="1"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s="13" customFormat="1" hidden="1"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s="13" customFormat="1" hidden="1"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s="13" customFormat="1" hidden="1"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s="13" customFormat="1" hidden="1"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s="13" customFormat="1" hidden="1"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s="13" customFormat="1" hidden="1"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s="13" customFormat="1" hidden="1"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s="13" customFormat="1" hidden="1"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s="13" customFormat="1" hidden="1"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s="13" customFormat="1" hidden="1"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s="13" customFormat="1" hidden="1"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s="13" customFormat="1" hidden="1"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s="13" customFormat="1" hidden="1"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s="13" customFormat="1" hidden="1"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s="13" customFormat="1" hidden="1"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s="13" customFormat="1" hidden="1"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s="13" customFormat="1" hidden="1"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s="13" customFormat="1" hidden="1"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s="13" customFormat="1" hidden="1"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s="13" customFormat="1" hidden="1"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s="13" customFormat="1" hidden="1"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s="13" customFormat="1" hidden="1"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s="13" customFormat="1" hidden="1"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s="13" customFormat="1" hidden="1"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s="13" customFormat="1" hidden="1"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s="13" customFormat="1" hidden="1"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s="13" customFormat="1" hidden="1"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s="13" customFormat="1" hidden="1"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s="13" customFormat="1" hidden="1"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s="13" customFormat="1" hidden="1"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s="13" customFormat="1" hidden="1"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s="13" customFormat="1" hidden="1"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s="13" customFormat="1" hidden="1"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s="13" customFormat="1" hidden="1"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s="13" customFormat="1" hidden="1"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s="13" customFormat="1" hidden="1"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s="13" customFormat="1" hidden="1"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s="13" customFormat="1" hidden="1"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s="13" customFormat="1" hidden="1"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s="13" customFormat="1" hidden="1"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s="13" customFormat="1" hidden="1"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s="13" customFormat="1" hidden="1"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s="13" customFormat="1" hidden="1"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s="13" customFormat="1" hidden="1"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s="13" customFormat="1" hidden="1"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s="13" customFormat="1" hidden="1"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s="13" customFormat="1" hidden="1"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s="13" customFormat="1" hidden="1"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s="13" customFormat="1" hidden="1"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s="13" customFormat="1" hidden="1"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s="13" customFormat="1" hidden="1"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s="13" customFormat="1" hidden="1"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s="13" customFormat="1" hidden="1"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s="13" customFormat="1" hidden="1"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s="13" customFormat="1" hidden="1"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s="13" customFormat="1" hidden="1"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s="13" customFormat="1" hidden="1"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s="13" customFormat="1" hidden="1"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s="13" customFormat="1" hidden="1"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s="13" customFormat="1" hidden="1"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s="13" customFormat="1" hidden="1"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s="13" customFormat="1" hidden="1"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s="13" customFormat="1" hidden="1"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s="13" customFormat="1" hidden="1"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s="13" customFormat="1" hidden="1"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s="13" customFormat="1" hidden="1"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s="13" customFormat="1" hidden="1"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s="13" customFormat="1" hidden="1"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s="13" customFormat="1" hidden="1"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s="13" customFormat="1" hidden="1"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s="13" customFormat="1" hidden="1"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s="13" customFormat="1" hidden="1"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s="13" customFormat="1" hidden="1"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s="13" customFormat="1" hidden="1"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s="13" customFormat="1" hidden="1"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s="13" customFormat="1" hidden="1"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s="13" customFormat="1" hidden="1"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s="13" customFormat="1" hidden="1"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s="13" customFormat="1" hidden="1"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s="13" customFormat="1" hidden="1"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s="13" customFormat="1" hidden="1"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s="13" customFormat="1" hidden="1"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s="13" customFormat="1" hidden="1"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s="13" customFormat="1" hidden="1"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s="13" customFormat="1" hidden="1"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s="13" customFormat="1" hidden="1"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s="13" customFormat="1" hidden="1"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s="13" customFormat="1" hidden="1"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s="13" customFormat="1" hidden="1"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s="13" customFormat="1" hidden="1"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s="13" customFormat="1" hidden="1"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s="13" customFormat="1" hidden="1"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s="13" customFormat="1" hidden="1"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s="13" customFormat="1" hidden="1"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s="13" customFormat="1" hidden="1"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s="13" customFormat="1" hidden="1"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s="13" customFormat="1" hidden="1"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s="13" customFormat="1" hidden="1"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s="13" customFormat="1" hidden="1"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s="13" customFormat="1" hidden="1"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s="13" customFormat="1" hidden="1"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s="13" customFormat="1" hidden="1"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s="13" customFormat="1" hidden="1"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s="13" customFormat="1" hidden="1"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s="13" customFormat="1" hidden="1"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s="13" customFormat="1" hidden="1"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s="13" customFormat="1" hidden="1"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s="13" customFormat="1" hidden="1"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s="13" customFormat="1" hidden="1"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s="13" customFormat="1" hidden="1"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s="13" customFormat="1" hidden="1"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s="13" customFormat="1" hidden="1"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s="13" customFormat="1" hidden="1"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s="13" customFormat="1" hidden="1"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s="13" customFormat="1" hidden="1"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s="13" customFormat="1" hidden="1"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s="13" customFormat="1" hidden="1"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s="13" customFormat="1" hidden="1"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s="13" customFormat="1" hidden="1"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s="13" customFormat="1" hidden="1"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s="13" customFormat="1" hidden="1"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s="13" customFormat="1" hidden="1"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s="13" customFormat="1" hidden="1"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s="13" customFormat="1" hidden="1"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s="13" customFormat="1" hidden="1"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s="13" customFormat="1" hidden="1"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s="13" customFormat="1" hidden="1"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s="13" customFormat="1" hidden="1"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s="13" customFormat="1" hidden="1"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s="13" customFormat="1" hidden="1"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s="13" customFormat="1" hidden="1"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s="13" customFormat="1" hidden="1"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s="13" customFormat="1" hidden="1"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s="13" customFormat="1" hidden="1"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s="13" customFormat="1" hidden="1"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s="13" customFormat="1" hidden="1"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s="13" customFormat="1" hidden="1"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s="13" customFormat="1" hidden="1"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s="13" customFormat="1" hidden="1"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s="13" customFormat="1" hidden="1"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s="13" customFormat="1" hidden="1"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s="13" customFormat="1" hidden="1"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s="13" customFormat="1" hidden="1"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s="13" customFormat="1" hidden="1"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s="13" customFormat="1" hidden="1"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s="13" customFormat="1" hidden="1"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s="13" customFormat="1" hidden="1"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s="13" customFormat="1" hidden="1"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s="13" customFormat="1" hidden="1"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s="13" customFormat="1" hidden="1"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s="13" customFormat="1" hidden="1"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s="13" customFormat="1" hidden="1"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s="13" customFormat="1" hidden="1"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s="13" customFormat="1" hidden="1"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s="13" customFormat="1" hidden="1"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s="13" customFormat="1" hidden="1"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s="13" customFormat="1" hidden="1"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s="13" customFormat="1" hidden="1"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s="13" customFormat="1" hidden="1"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s="13" customFormat="1" hidden="1"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s="13" customFormat="1" hidden="1"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s="13" customFormat="1" hidden="1"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s="13" customFormat="1" hidden="1"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s="13" customFormat="1" hidden="1"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s="13" customFormat="1" hidden="1"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s="13" customFormat="1" hidden="1"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s="13" customFormat="1" hidden="1"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s="13" customFormat="1" hidden="1"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s="13" customFormat="1" hidden="1"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s="13" customFormat="1" hidden="1"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s="13" customFormat="1" hidden="1"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s="13" customFormat="1" hidden="1"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s="13" customFormat="1" hidden="1"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s="13" customFormat="1" hidden="1"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s="13" customFormat="1" hidden="1"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s="13" customFormat="1" hidden="1"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s="13" customFormat="1" hidden="1"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s="13" customFormat="1" hidden="1"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s="13" customFormat="1" hidden="1"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s="13" customFormat="1" hidden="1"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s="13" customFormat="1" hidden="1"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s="13" customFormat="1" hidden="1"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s="13" customFormat="1" hidden="1"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s="13" customFormat="1" hidden="1"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s="13" customFormat="1" hidden="1"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s="13" customFormat="1" hidden="1"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s="13" customFormat="1" hidden="1"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s="13" customFormat="1" hidden="1"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s="13" customFormat="1" hidden="1"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s="13" customFormat="1" hidden="1"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s="13" customFormat="1" hidden="1"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s="13" customFormat="1" hidden="1"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s="13" customFormat="1" hidden="1"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s="13" customFormat="1" hidden="1"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s="13" customFormat="1" hidden="1"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s="13" customFormat="1" hidden="1"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s="13" customFormat="1" hidden="1"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s="13" customFormat="1" hidden="1"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s="13" customFormat="1" hidden="1"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s="13" customFormat="1" hidden="1"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s="13" customFormat="1" hidden="1"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s="13" customFormat="1" hidden="1"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s="13" customFormat="1" hidden="1"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s="13" customFormat="1" hidden="1"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s="13" customFormat="1" hidden="1"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s="13" customFormat="1" hidden="1"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s="13" customFormat="1" hidden="1"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s="13" customFormat="1" hidden="1"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s="13" customFormat="1" hidden="1"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s="13" customFormat="1" hidden="1"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s="13" customFormat="1" hidden="1"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s="13" customFormat="1" hidden="1"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s="13" customFormat="1" hidden="1"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s="13" customFormat="1" hidden="1"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s="13" customFormat="1" hidden="1"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s="13" customFormat="1" hidden="1"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s="13" customFormat="1" hidden="1"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s="13" customFormat="1" hidden="1"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s="13" customFormat="1" hidden="1"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s="13" customFormat="1" hidden="1"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s="13" customFormat="1" hidden="1"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s="13" customFormat="1" hidden="1"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s="13" customFormat="1" hidden="1"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s="13" customFormat="1" hidden="1"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s="13" customFormat="1" hidden="1"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s="13" customFormat="1" hidden="1"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s="13" customFormat="1" hidden="1"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s="13" customFormat="1" hidden="1"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s="13" customFormat="1" hidden="1"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s="13" customFormat="1" hidden="1"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s="13" customFormat="1" hidden="1"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s="13" customFormat="1" hidden="1"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s="13" customFormat="1" hidden="1"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s="13" customFormat="1" hidden="1"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s="13" customFormat="1" hidden="1"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s="13" customFormat="1" hidden="1"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s="13" customFormat="1" hidden="1"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s="13" customFormat="1" hidden="1"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s="13" customFormat="1" hidden="1"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s="13" customFormat="1" hidden="1"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s="13" customFormat="1" hidden="1"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s="13" customFormat="1" hidden="1"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s="13" customFormat="1" hidden="1"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s="13" customFormat="1" hidden="1"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s="13" customFormat="1" hidden="1"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s="13" customFormat="1" hidden="1"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s="13" customFormat="1" hidden="1"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s="13" customFormat="1" hidden="1"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s="13" customFormat="1" hidden="1"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s="13" customFormat="1" hidden="1"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s="13" customFormat="1" hidden="1"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s="13" customFormat="1" hidden="1"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s="13" customFormat="1" hidden="1"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s="13" customFormat="1" hidden="1"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s="13" customFormat="1" hidden="1"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s="13" customFormat="1" hidden="1"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s="13" customFormat="1" hidden="1"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s="13" customFormat="1" hidden="1"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s="13" customFormat="1" hidden="1"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s="13" customFormat="1" hidden="1"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s="13" customFormat="1" hidden="1"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s="13" customFormat="1" hidden="1"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s="13" customFormat="1" hidden="1"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s="13" customFormat="1" hidden="1"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s="13" customFormat="1" hidden="1"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s="13" customFormat="1" hidden="1"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s="13" customFormat="1" hidden="1"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s="13" customFormat="1" hidden="1"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s="13" customFormat="1" hidden="1"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s="13" customFormat="1" hidden="1"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s="13" customFormat="1" hidden="1"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s="13" customFormat="1" hidden="1"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s="13" customFormat="1" hidden="1"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s="13" customFormat="1" hidden="1"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s="13" customFormat="1" hidden="1"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s="13" customFormat="1" hidden="1"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s="13" customFormat="1" hidden="1"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s="13" customFormat="1" hidden="1"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s="13" customFormat="1" hidden="1"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s="13" customFormat="1" hidden="1"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s="13" customFormat="1" hidden="1"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s="13" customFormat="1" hidden="1"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s="13" customFormat="1" hidden="1"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s="13" customFormat="1" hidden="1"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s="13" customFormat="1" hidden="1"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s="13" customFormat="1" hidden="1"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s="13" customFormat="1" hidden="1"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s="13" customFormat="1" hidden="1"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s="13" customFormat="1" hidden="1"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s="13" customFormat="1" hidden="1"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s="13" customFormat="1" hidden="1"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s="13" customFormat="1" hidden="1"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s="13" customFormat="1" hidden="1"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s="13" customFormat="1" hidden="1"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s="13" customFormat="1" hidden="1"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s="13" customFormat="1" hidden="1"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s="13" customFormat="1" hidden="1"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s="13" customFormat="1" hidden="1"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s="13" customFormat="1" hidden="1"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s="13" customFormat="1" hidden="1"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s="13" customFormat="1" hidden="1"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s="13" customFormat="1" hidden="1"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s="13" customFormat="1" hidden="1"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s="13" customFormat="1" hidden="1"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s="13" customFormat="1" hidden="1"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s="13" customFormat="1" hidden="1"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s="13" customFormat="1" hidden="1"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s="13" customFormat="1" hidden="1"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s="13" customFormat="1" hidden="1"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s="13" customFormat="1" hidden="1"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s="13" customFormat="1" hidden="1"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s="13" customFormat="1" hidden="1"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s="13" customFormat="1" hidden="1"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s="13" customFormat="1" hidden="1"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s="13" customFormat="1" hidden="1"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s="13" customFormat="1" hidden="1"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s="13" customFormat="1" hidden="1"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s="13" customFormat="1" hidden="1"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s="13" customFormat="1" hidden="1"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s="13" customFormat="1" hidden="1"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s="13" customFormat="1" hidden="1"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s="13" customFormat="1" hidden="1"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s="13" customFormat="1" hidden="1"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s="13" customFormat="1" hidden="1"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s="13" customFormat="1" hidden="1"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s="13" customFormat="1" hidden="1"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s="13" customFormat="1" hidden="1"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s="13" customFormat="1" hidden="1"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s="13" customFormat="1" hidden="1"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s="13" customFormat="1" hidden="1"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s="13" customFormat="1" hidden="1"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s="13" customFormat="1" hidden="1"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s="13" customFormat="1" hidden="1"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s="13" customFormat="1" hidden="1"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s="13" customFormat="1" hidden="1"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s="13" customFormat="1" hidden="1"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s="13" customFormat="1" hidden="1"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s="13" customFormat="1" hidden="1"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s="13" customFormat="1" hidden="1"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s="13" customFormat="1" hidden="1"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s="13" customFormat="1" hidden="1"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s="13" customFormat="1" hidden="1"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s="13" customFormat="1" hidden="1"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s="13" customFormat="1" hidden="1"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s="13" customFormat="1" hidden="1"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s="13" customFormat="1" hidden="1"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s="13" customFormat="1" hidden="1"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s="13" customFormat="1" hidden="1"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s="13" customFormat="1" hidden="1"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s="13" customFormat="1" hidden="1"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s="13" customFormat="1" hidden="1"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s="13" customFormat="1" hidden="1"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s="13" customFormat="1" hidden="1"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s="13" customFormat="1" hidden="1"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s="13" customFormat="1" hidden="1"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s="13" customFormat="1" hidden="1"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s="13" customFormat="1" hidden="1"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s="13" customFormat="1" hidden="1"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s="13" customFormat="1" hidden="1"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s="13" customFormat="1" hidden="1"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s="13" customFormat="1" hidden="1"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s="13" customFormat="1" hidden="1"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s="13" customFormat="1" hidden="1"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s="13" customFormat="1" hidden="1"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s="13" customFormat="1" hidden="1"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s="13" customFormat="1" hidden="1"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s="13" customFormat="1" hidden="1"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s="13" customFormat="1" hidden="1"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s="13" customFormat="1" hidden="1"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s="13" customFormat="1" hidden="1"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s="13" customFormat="1" hidden="1"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s="13" customFormat="1" hidden="1"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s="13" customFormat="1" hidden="1"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s="13" customFormat="1" hidden="1"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s="13" customFormat="1" hidden="1"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s="13" customFormat="1" hidden="1"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s="13" customFormat="1" hidden="1"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s="13" customFormat="1" hidden="1"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s="13" customFormat="1" hidden="1"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s="13" customFormat="1" hidden="1"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s="13" customFormat="1" hidden="1"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s="13" customFormat="1" hidden="1"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s="13" customFormat="1" hidden="1"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s="13" customFormat="1" hidden="1"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s="13" customFormat="1" hidden="1"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s="13" customFormat="1" hidden="1"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s="13" customFormat="1" hidden="1"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s="13" customFormat="1" hidden="1"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s="13" customFormat="1" hidden="1"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s="13" customFormat="1" hidden="1"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s="13" customFormat="1" hidden="1"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s="13" customFormat="1" hidden="1"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s="13" customFormat="1" hidden="1"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s="13" customFormat="1" hidden="1"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s="13" customFormat="1" hidden="1"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s="13" customFormat="1" hidden="1"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s="13" customFormat="1" hidden="1"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s="13" customFormat="1" hidden="1"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s="13" customFormat="1" hidden="1"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s="13" customFormat="1" hidden="1"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s="13" customFormat="1" hidden="1"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s="13" customFormat="1" hidden="1"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s="13" customFormat="1" hidden="1"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s="13" customFormat="1" hidden="1"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s="13" customFormat="1" hidden="1"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s="13" customFormat="1" hidden="1"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s="13" customFormat="1" hidden="1"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s="13" customFormat="1" hidden="1"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s="13" customFormat="1" hidden="1"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s="13" customFormat="1" hidden="1"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s="13" customFormat="1" hidden="1"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s="13" customFormat="1" hidden="1"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s="13" customFormat="1" hidden="1"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s="13" customFormat="1" hidden="1"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s="13" customFormat="1" hidden="1"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s="13" customFormat="1" hidden="1"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s="13" customFormat="1" hidden="1"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s="13" customFormat="1" hidden="1"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s="13" customFormat="1" hidden="1"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s="13" customFormat="1" hidden="1"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s="13" customFormat="1" hidden="1"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s="13" customFormat="1" hidden="1"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s="13" customFormat="1" hidden="1"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s="13" customFormat="1" hidden="1"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s="13" customFormat="1" hidden="1"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s="13" customFormat="1" hidden="1"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s="13" customFormat="1" hidden="1"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s="13" customFormat="1" hidden="1"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s="13" customFormat="1" hidden="1"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s="13" customFormat="1" hidden="1"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s="13" customFormat="1" hidden="1"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s="13" customFormat="1" hidden="1"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s="13" customFormat="1" hidden="1"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s="13" customFormat="1" hidden="1"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s="13" customFormat="1" hidden="1"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s="13" customFormat="1" hidden="1"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s="13" customFormat="1" hidden="1"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s="13" customFormat="1" hidden="1"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s="13" customFormat="1" hidden="1"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s="13" customFormat="1" hidden="1"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s="13" customFormat="1" hidden="1"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s="13" customFormat="1" hidden="1"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s="13" customFormat="1" hidden="1"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s="13" customFormat="1" hidden="1"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s="13" customFormat="1" hidden="1"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s="13" customFormat="1" hidden="1"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s="13" customFormat="1" hidden="1"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s="13" customFormat="1" hidden="1"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s="13" customFormat="1" hidden="1"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s="13" customFormat="1" hidden="1"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s="13" customFormat="1" hidden="1"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s="13" customFormat="1" hidden="1"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s="13" customFormat="1" hidden="1"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s="13" customFormat="1" hidden="1"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s="13" customFormat="1" hidden="1"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s="13" customFormat="1" hidden="1"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s="13" customFormat="1" hidden="1"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s="13" customFormat="1" hidden="1"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s="13" customFormat="1" hidden="1"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s="13" customFormat="1" hidden="1"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s="13" customFormat="1" hidden="1"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s="13" customFormat="1" hidden="1"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s="13" customFormat="1" hidden="1"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s="13" customFormat="1" hidden="1"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s="13" customFormat="1" hidden="1"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s="13" customFormat="1" hidden="1"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s="13" customFormat="1" hidden="1"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s="13" customFormat="1" hidden="1"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s="13" customFormat="1" hidden="1"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s="13" customFormat="1" hidden="1"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s="13" customFormat="1" hidden="1"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s="13" customFormat="1" hidden="1"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s="13" customFormat="1" hidden="1"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s="13" customFormat="1" hidden="1"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s="13" customFormat="1" hidden="1"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s="13" customFormat="1" hidden="1"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s="13" customFormat="1" hidden="1"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s="13" customFormat="1" hidden="1"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s="13" customFormat="1" hidden="1"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s="13" customFormat="1" hidden="1"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s="13" customFormat="1" hidden="1"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s="13" customFormat="1" hidden="1"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s="13" customFormat="1" hidden="1"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s="13" customFormat="1" hidden="1"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s="13" customFormat="1" hidden="1"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s="13" customFormat="1" hidden="1"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s="13" customFormat="1" hidden="1"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s="13" customFormat="1" hidden="1"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s="13" customFormat="1" hidden="1"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s="13" customFormat="1" hidden="1"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s="13" customFormat="1" hidden="1"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s="13" customFormat="1" hidden="1"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s="13" customFormat="1" hidden="1"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s="13" customFormat="1" hidden="1"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s="13" customFormat="1" hidden="1"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s="13" customFormat="1" hidden="1"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s="13" customFormat="1" hidden="1"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s="13" customFormat="1" hidden="1"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s="13" customFormat="1" hidden="1"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s="13" customFormat="1" hidden="1"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s="13" customFormat="1" hidden="1"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s="13" customFormat="1" hidden="1"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s="13" customFormat="1" hidden="1"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s="13" customFormat="1" hidden="1"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s="13" customFormat="1" hidden="1"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s="13" customFormat="1" hidden="1"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s="13" customFormat="1" hidden="1"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s="13" customFormat="1" hidden="1"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s="13" customFormat="1" hidden="1"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s="13" customFormat="1" hidden="1"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s="13" customFormat="1" hidden="1"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s="13" customFormat="1" hidden="1"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s="13" customFormat="1" hidden="1"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s="13" customFormat="1" hidden="1"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s="13" customFormat="1" hidden="1"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s="13" customFormat="1" hidden="1"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s="13" customFormat="1" hidden="1"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s="13" customFormat="1" hidden="1"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s="13" customFormat="1" hidden="1"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s="13" customFormat="1" hidden="1"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s="13" customFormat="1" hidden="1"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s="13" customFormat="1" hidden="1"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s="13" customFormat="1" hidden="1"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s="13" customFormat="1" hidden="1"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s="13" customFormat="1" hidden="1"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s="13" customFormat="1" hidden="1"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s="13" customFormat="1" hidden="1"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s="13" customFormat="1" hidden="1"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s="13" customFormat="1" hidden="1"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s="13" customFormat="1" hidden="1"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s="13" customFormat="1" hidden="1"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s="13" customFormat="1" hidden="1"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s="13" customFormat="1" hidden="1"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s="13" customFormat="1" hidden="1"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s="13" customFormat="1" hidden="1"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s="13" customFormat="1" hidden="1"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s="13" customFormat="1" hidden="1"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s="13" customFormat="1" hidden="1"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s="13" customFormat="1" hidden="1"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s="13" customFormat="1" hidden="1"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s="13" customFormat="1" hidden="1"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s="13" customFormat="1" hidden="1"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s="13" customFormat="1" hidden="1"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s="13" customFormat="1" hidden="1"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s="13" customFormat="1" hidden="1"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s="13" customFormat="1" hidden="1"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s="13" customFormat="1" hidden="1"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s="13" customFormat="1" hidden="1"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s="13" customFormat="1" hidden="1"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s="13" customFormat="1" hidden="1"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s="13" customFormat="1" hidden="1"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s="13" customFormat="1" hidden="1"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s="13" customFormat="1" hidden="1"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s="13" customFormat="1" hidden="1"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s="13" customFormat="1" hidden="1"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s="13" customFormat="1" hidden="1"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s="13" customFormat="1" hidden="1"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s="13" customFormat="1" hidden="1"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s="13" customFormat="1" hidden="1"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s="13" customFormat="1" hidden="1"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s="13" customFormat="1" hidden="1"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s="13" customFormat="1" hidden="1"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s="13" customFormat="1" hidden="1"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s="13" customFormat="1" hidden="1"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s="13" customFormat="1" hidden="1"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s="13" customFormat="1" hidden="1"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s="13" customFormat="1" hidden="1"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s="13" customFormat="1" hidden="1"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s="13" customFormat="1" hidden="1"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s="13" customFormat="1" hidden="1"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s="13" customFormat="1" hidden="1"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s="13" customFormat="1" hidden="1"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s="13" customFormat="1" hidden="1"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s="13" customFormat="1" hidden="1"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s="13" customFormat="1" hidden="1"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s="13" customFormat="1" hidden="1"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s="13" customFormat="1" hidden="1"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s="13" customFormat="1" hidden="1"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s="13" customFormat="1" hidden="1"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s="13" customFormat="1" hidden="1"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s="13" customFormat="1" hidden="1"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s="13" customFormat="1" hidden="1"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s="13" customFormat="1" hidden="1"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s="13" customFormat="1" hidden="1"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s="13" customFormat="1" hidden="1"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s="13" customFormat="1" hidden="1"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s="13" customFormat="1" hidden="1"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s="13" customFormat="1" hidden="1"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s="13" customFormat="1" hidden="1"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s="13" customFormat="1" hidden="1"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s="13" customFormat="1" hidden="1"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s="13" customFormat="1" hidden="1"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s="13" customFormat="1" hidden="1"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s="13" customFormat="1" hidden="1"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s="13" customFormat="1" hidden="1"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s="13" customFormat="1" hidden="1"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s="13" customFormat="1" hidden="1"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s="13" customFormat="1" hidden="1"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s="13" customFormat="1" hidden="1"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s="13" customFormat="1" hidden="1"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s="13" customFormat="1" hidden="1"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s="13" customFormat="1" hidden="1"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s="13" customFormat="1" hidden="1"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s="13" customFormat="1" hidden="1"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s="13" customFormat="1" hidden="1"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s="13" customFormat="1" hidden="1"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s="13" customFormat="1" hidden="1"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s="13" customFormat="1" hidden="1"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s="13" customFormat="1" hidden="1"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s="13" customFormat="1" hidden="1"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s="13" customFormat="1" hidden="1"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s="13" customFormat="1" hidden="1"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s="13" customFormat="1" hidden="1"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s="13" customFormat="1" hidden="1"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s="13" customFormat="1" hidden="1"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s="13" customFormat="1" hidden="1"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s="13" customFormat="1" hidden="1"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s="13" customFormat="1" hidden="1"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s="13" customFormat="1" hidden="1"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s="13" customFormat="1" hidden="1"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s="13" customFormat="1" hidden="1"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s="13" customFormat="1" hidden="1"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s="13" customFormat="1" hidden="1"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s="13" customFormat="1" hidden="1"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s="13" customFormat="1" hidden="1"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s="13" customFormat="1" hidden="1"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s="13" customFormat="1" hidden="1"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s="13" customFormat="1" hidden="1"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s="13" customFormat="1" hidden="1"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s="13" customFormat="1" hidden="1"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s="13" customFormat="1" hidden="1"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s="13" customFormat="1" hidden="1"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s="13" customFormat="1" hidden="1"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s="13" customFormat="1" hidden="1"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s="13" customFormat="1" hidden="1"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s="13" customFormat="1" hidden="1"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s="13" customFormat="1" hidden="1"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s="13" customFormat="1" hidden="1"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s="13" customFormat="1" hidden="1"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s="13" customFormat="1" hidden="1"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s="13" customFormat="1" hidden="1"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s="13" customFormat="1" hidden="1"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s="13" customFormat="1" hidden="1"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s="13" customFormat="1" hidden="1"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s="13" customFormat="1" hidden="1"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s="13" customFormat="1" hidden="1"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s="13" customFormat="1" hidden="1"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s="13" customFormat="1" hidden="1"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s="13" customFormat="1" hidden="1"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s="13" customFormat="1" hidden="1"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s="13" customFormat="1" hidden="1"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s="13" customFormat="1" hidden="1"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s="13" customFormat="1" hidden="1"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s="13" customFormat="1" hidden="1"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s="13" customFormat="1" hidden="1"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s="13" customFormat="1" hidden="1"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s="13" customFormat="1" hidden="1"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s="13" customFormat="1" hidden="1"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s="13" customFormat="1" hidden="1"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s="13" customFormat="1" hidden="1"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s="13" customFormat="1" hidden="1"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s="13" customFormat="1" hidden="1"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s="13" customFormat="1" hidden="1"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s="13" customFormat="1" hidden="1"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s="13" customFormat="1" hidden="1"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s="13" customFormat="1" hidden="1"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s="13" customFormat="1" hidden="1"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s="13" customFormat="1" hidden="1"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s="13" customFormat="1" hidden="1"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s="13" customFormat="1" hidden="1"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s="13" customFormat="1" hidden="1"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s="13" customFormat="1" hidden="1"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s="13" customFormat="1" hidden="1"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s="13" customFormat="1" hidden="1"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s="13" customFormat="1" hidden="1"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s="13" customFormat="1" hidden="1"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s="13" customFormat="1" hidden="1"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s="13" customFormat="1" hidden="1"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s="13" customFormat="1" hidden="1"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s="13" customFormat="1" hidden="1"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s="13" customFormat="1" hidden="1"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s="13" customFormat="1" hidden="1"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s="13" customFormat="1" hidden="1"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s="13" customFormat="1" hidden="1"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s="13" customFormat="1" hidden="1"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s="13" customFormat="1" hidden="1"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s="13" customFormat="1" hidden="1"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s="13" customFormat="1" hidden="1"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s="13" customFormat="1" hidden="1"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s="13" customFormat="1" hidden="1"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s="13" customFormat="1" hidden="1"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s="13" customFormat="1" hidden="1"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s="13" customFormat="1" hidden="1"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s="13" customFormat="1" hidden="1"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s="13" customFormat="1" hidden="1"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s="13" customFormat="1" hidden="1"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s="13" customFormat="1" hidden="1"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s="13" customFormat="1" hidden="1"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s="13" customFormat="1" hidden="1"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s="13" customFormat="1" hidden="1"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s="13" customFormat="1" hidden="1"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s="13" customFormat="1" hidden="1"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s="13" customFormat="1" hidden="1"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s="13" customFormat="1" hidden="1"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s="13" customFormat="1" hidden="1"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s="13" customFormat="1" hidden="1"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s="13" customFormat="1" hidden="1"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s="13" customFormat="1" hidden="1"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s="13" customFormat="1" hidden="1"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s="13" customFormat="1" hidden="1"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s="13" customFormat="1" hidden="1"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s="13" customFormat="1" hidden="1"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s="13" customFormat="1" hidden="1"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s="13" customFormat="1" hidden="1"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s="13" customFormat="1" hidden="1"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s="13" customFormat="1" hidden="1"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s="13" customFormat="1" hidden="1"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s="13" customFormat="1" hidden="1"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s="13" customFormat="1" hidden="1"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s="13" customFormat="1" hidden="1"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s="13" customFormat="1" hidden="1"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s="13" customFormat="1" hidden="1"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s="13" customFormat="1" hidden="1"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s="13" customFormat="1" hidden="1"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s="13" customFormat="1" hidden="1"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s="13" customFormat="1" hidden="1"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s="13" customFormat="1" hidden="1"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s="13" customFormat="1" hidden="1"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s="13" customFormat="1" hidden="1"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s="13" customFormat="1" hidden="1"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s="13" customFormat="1" hidden="1"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s="13" customFormat="1" hidden="1"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s="13" customFormat="1" hidden="1"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s="13" customFormat="1" hidden="1"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s="13" customFormat="1" hidden="1"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s="13" customFormat="1" hidden="1"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s="13" customFormat="1" hidden="1"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s="13" customFormat="1" hidden="1"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s="13" customFormat="1" hidden="1"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s="13" customFormat="1" hidden="1"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s="13" customFormat="1" hidden="1"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s="13" customFormat="1" hidden="1"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s="13" customFormat="1" hidden="1"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s="13" customFormat="1" hidden="1"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s="13" customFormat="1" hidden="1"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s="13" customFormat="1" hidden="1"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s="13" customFormat="1" hidden="1"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s="13" customFormat="1" hidden="1"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s="13" customFormat="1" hidden="1"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s="13" customFormat="1" hidden="1"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s="13" customFormat="1" hidden="1"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s="13" customFormat="1" hidden="1"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s="13" customFormat="1" hidden="1"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s="13" customFormat="1" hidden="1"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s="13" customFormat="1" hidden="1"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s="13" customFormat="1" hidden="1"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s="13" customFormat="1" hidden="1"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s="13" customFormat="1" hidden="1"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s="13" customFormat="1" hidden="1"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s="13" customFormat="1" hidden="1"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s="13" customFormat="1" hidden="1"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s="13" customFormat="1" hidden="1"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s="13" customFormat="1" hidden="1"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s="13" customFormat="1" hidden="1"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s="13" customFormat="1" hidden="1"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s="13" customFormat="1" hidden="1"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s="13" customFormat="1" hidden="1"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s="13" customFormat="1" hidden="1"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s="13" customFormat="1" hidden="1"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s="13" customFormat="1" hidden="1"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s="13" customFormat="1" hidden="1"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s="13" customFormat="1" hidden="1"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s="13" customFormat="1" hidden="1"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s="13" customFormat="1" hidden="1"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s="13" customFormat="1" hidden="1"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s="13" customFormat="1" hidden="1"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s="13" customFormat="1" hidden="1"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s="13" customFormat="1" hidden="1"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s="13" customFormat="1" hidden="1"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s="13" customFormat="1" hidden="1"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s="13" customFormat="1" hidden="1"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s="13" customFormat="1" hidden="1"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s="13" customFormat="1" hidden="1"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s="13" customFormat="1" hidden="1"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s="13" customFormat="1" hidden="1"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s="13" customFormat="1" hidden="1"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s="13" customFormat="1" hidden="1"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s="13" customFormat="1" hidden="1"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s="13" customFormat="1" hidden="1"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s="13" customFormat="1" hidden="1"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s="13" customFormat="1" hidden="1"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s="13" customFormat="1" hidden="1"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s="13" customFormat="1" hidden="1"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s="13" customFormat="1" hidden="1"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s="13" customFormat="1" hidden="1"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s="13" customFormat="1" hidden="1"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s="13" customFormat="1" hidden="1"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s="13" customFormat="1" hidden="1"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s="13" customFormat="1" hidden="1"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s="13" customFormat="1" hidden="1"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s="13" customFormat="1" hidden="1"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s="13" customFormat="1" hidden="1"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s="13" customFormat="1" hidden="1"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s="13" customFormat="1" hidden="1"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s="13" customFormat="1" hidden="1"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s="13" customFormat="1" hidden="1"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s="13" customFormat="1" hidden="1"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s="13" customFormat="1" hidden="1"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s="13" customFormat="1" hidden="1"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s="13" customFormat="1" hidden="1"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s="13" customFormat="1" hidden="1"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s="13" customFormat="1" hidden="1"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s="13" customFormat="1" hidden="1"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s="13" customFormat="1" hidden="1"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s="13" customFormat="1" hidden="1"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s="13" customFormat="1" hidden="1"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s="13" customFormat="1" hidden="1"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s="13" customFormat="1" hidden="1"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s="13" customFormat="1" hidden="1"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s="13" customFormat="1" hidden="1"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s="13" customFormat="1" hidden="1"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s="13" customFormat="1" hidden="1"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s="13" customFormat="1" hidden="1"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s="13" customFormat="1" hidden="1"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s="13" customFormat="1" hidden="1"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s="13" customFormat="1" hidden="1"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s="13" customFormat="1" hidden="1"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s="13" customFormat="1" hidden="1"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s="13" customFormat="1" hidden="1"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s="13" customFormat="1" hidden="1"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s="13" customFormat="1" hidden="1"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s="13" customFormat="1" hidden="1"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s="13" customFormat="1" hidden="1"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s="13" customFormat="1" hidden="1"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s="13" customFormat="1" hidden="1"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s="13" customFormat="1" hidden="1"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s="13" customFormat="1" hidden="1"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s="13" customFormat="1" hidden="1"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s="13" customFormat="1" hidden="1"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s="13" customFormat="1" hidden="1"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s="13" customFormat="1" hidden="1"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s="13" customFormat="1" hidden="1"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s="13" customFormat="1" hidden="1"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s="13" customFormat="1" hidden="1"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s="13" customFormat="1" hidden="1"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s="13" customFormat="1" hidden="1"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s="13" customFormat="1" hidden="1"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s="13" customFormat="1" hidden="1"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s="13" customFormat="1" hidden="1"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s="13" customFormat="1" hidden="1"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s="13" customFormat="1" hidden="1"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s="13" customFormat="1" hidden="1"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s="13" customFormat="1" hidden="1"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s="13" customFormat="1" hidden="1"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s="13" customFormat="1" hidden="1"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s="13" customFormat="1" hidden="1"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s="13" customFormat="1" hidden="1"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s="13" customFormat="1" hidden="1"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s="13" customFormat="1" hidden="1"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s="13" customFormat="1" hidden="1"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s="13" customFormat="1" hidden="1"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s="13" customFormat="1" hidden="1"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s="13" customFormat="1" hidden="1"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s="13" customFormat="1" hidden="1"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s="13" customFormat="1" hidden="1"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s="13" customFormat="1" hidden="1"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s="13" customFormat="1" hidden="1"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s="13" customFormat="1" hidden="1"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s="13" customFormat="1" hidden="1"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s="13" customFormat="1" hidden="1"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s="13" customFormat="1" hidden="1"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s="13" customFormat="1" hidden="1"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s="13" customFormat="1" hidden="1"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s="13" customFormat="1" hidden="1"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s="13" customFormat="1" hidden="1"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s="13" customFormat="1" hidden="1"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s="13" customFormat="1" hidden="1"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s="13" customFormat="1" hidden="1"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s="13" customFormat="1" hidden="1"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s="13" customFormat="1" hidden="1"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s="13" customFormat="1" hidden="1"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s="13" customFormat="1" hidden="1"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s="13" customFormat="1" hidden="1"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s="13" customFormat="1" hidden="1"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s="13" customFormat="1" hidden="1"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s="13" customFormat="1" hidden="1"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s="13" customFormat="1" hidden="1"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s="13" customFormat="1" hidden="1"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s="13" customFormat="1" hidden="1"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s="13" customFormat="1" hidden="1"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s="13" customFormat="1" hidden="1"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s="13" customFormat="1" hidden="1"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s="13" customFormat="1" hidden="1"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s="13" customFormat="1" hidden="1"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s="13" customFormat="1" hidden="1"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s="13" customFormat="1" hidden="1"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s="13" customFormat="1" hidden="1"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s="13" customFormat="1" hidden="1"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s="13" customFormat="1" hidden="1"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s="13" customFormat="1" hidden="1"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s="13" customFormat="1" hidden="1"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s="13" customFormat="1" hidden="1"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s="13" customFormat="1" hidden="1"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s="13" customFormat="1" hidden="1"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s="13" customFormat="1" hidden="1"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s="13" customFormat="1" hidden="1"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s="13" customFormat="1" hidden="1"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s="13" customFormat="1" hidden="1"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s="13" customFormat="1" hidden="1"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s="13" customFormat="1" hidden="1"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s="13" customFormat="1" hidden="1"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s="13" customFormat="1" hidden="1"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s="13" customFormat="1" hidden="1"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s="13" customFormat="1" hidden="1"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s="13" customFormat="1" hidden="1"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s="13" customFormat="1" hidden="1"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s="13" customFormat="1" hidden="1"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s="13" customFormat="1" hidden="1"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s="13" customFormat="1" hidden="1"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s="13" customFormat="1" hidden="1"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s="13" customFormat="1" hidden="1"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s="13" customFormat="1" hidden="1"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s="13" customFormat="1" hidden="1"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s="13" customFormat="1" hidden="1"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s="13" customFormat="1" hidden="1"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s="13" customFormat="1" hidden="1"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s="13" customFormat="1" hidden="1"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s="13" customFormat="1" hidden="1"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s="13" customFormat="1" hidden="1"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s="13" customFormat="1" hidden="1"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s="13" customFormat="1" hidden="1"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s="13" customFormat="1" hidden="1"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s="13" customFormat="1" hidden="1"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s="13" customFormat="1" hidden="1"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s="13" customFormat="1" hidden="1"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s="13" customFormat="1" hidden="1"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s="13" customFormat="1" hidden="1"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s="13" customFormat="1" hidden="1"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s="13" customFormat="1" hidden="1"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s="13" customFormat="1" hidden="1"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s="13" customFormat="1" hidden="1"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s="13" customFormat="1" hidden="1"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s="13" customFormat="1" hidden="1"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s="13" customFormat="1" hidden="1"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s="13" customFormat="1" hidden="1"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s="13" customFormat="1" hidden="1"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s="13" customFormat="1" hidden="1"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s="13" customFormat="1" hidden="1"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s="13" customFormat="1" hidden="1"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s="13" customFormat="1" hidden="1"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s="13" customFormat="1" hidden="1"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s="13" customFormat="1" hidden="1"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s="13" customFormat="1" hidden="1"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s="13" customFormat="1" hidden="1"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s="13" customFormat="1" hidden="1"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s="13" customFormat="1" hidden="1"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s="13" customFormat="1" hidden="1"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s="13" customFormat="1" hidden="1"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s="13" customFormat="1" hidden="1"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s="13" customFormat="1" hidden="1"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s="13" customFormat="1" hidden="1"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s="13" customFormat="1" hidden="1"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s="13" customFormat="1" hidden="1"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s="13" customFormat="1" hidden="1"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s="13" customFormat="1" hidden="1"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s="13" customFormat="1" hidden="1"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s="13" customFormat="1" hidden="1"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s="13" customFormat="1" hidden="1"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s="13" customFormat="1" hidden="1"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s="13" customFormat="1" hidden="1"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s="13" customFormat="1" hidden="1"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s="13" customFormat="1" hidden="1"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s="13" customFormat="1" hidden="1"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s="13" customFormat="1" hidden="1"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s="13" customFormat="1" hidden="1"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s="13" customFormat="1" hidden="1"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s="13" customFormat="1" hidden="1"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s="13" customFormat="1" hidden="1"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s="13" customFormat="1" hidden="1"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s="13" customFormat="1" hidden="1"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s="13" customFormat="1" hidden="1"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s="13" customFormat="1" hidden="1"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s="13" customFormat="1" hidden="1"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s="13" customFormat="1" hidden="1"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s="13" customFormat="1" hidden="1"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s="13" customFormat="1" hidden="1"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s="13" customFormat="1" hidden="1"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s="13" customFormat="1" hidden="1"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s="13" customFormat="1" hidden="1"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s="13" customFormat="1" hidden="1"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s="13" customFormat="1" hidden="1"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s="13" customFormat="1" hidden="1"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s="13" customFormat="1" hidden="1"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s="13" customFormat="1" hidden="1"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s="13" customFormat="1" hidden="1"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s="13" customFormat="1" hidden="1"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s="13" customFormat="1" hidden="1"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s="13" customFormat="1" hidden="1"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s="13" customFormat="1" hidden="1"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s="13" customFormat="1" hidden="1"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s="13" customFormat="1" hidden="1"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s="13" customFormat="1" hidden="1"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s="13" customFormat="1" hidden="1"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s="13" customFormat="1" hidden="1"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s="13" customFormat="1" hidden="1"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s="13" customFormat="1" hidden="1"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s="13" customFormat="1" hidden="1"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s="13" customFormat="1" hidden="1"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s="13" customFormat="1" hidden="1"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s="13" customFormat="1" hidden="1"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s="13" customFormat="1" hidden="1"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s="13" customFormat="1" hidden="1"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s="13" customFormat="1" hidden="1"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s="13" customFormat="1" hidden="1"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s="13" customFormat="1" hidden="1"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s="13" customFormat="1" hidden="1"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s="13" customFormat="1" hidden="1"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s="13" customFormat="1" hidden="1"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s="13" customFormat="1" hidden="1"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s="13" customFormat="1" hidden="1"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s="13" customFormat="1" hidden="1"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s="13" customFormat="1" hidden="1"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s="13" customFormat="1" hidden="1"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s="13" customFormat="1" hidden="1"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s="13" customFormat="1" hidden="1"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s="13" customFormat="1" hidden="1"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s="13" customFormat="1" hidden="1"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s="13" customFormat="1" hidden="1"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s="13" customFormat="1" hidden="1"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s="13" customFormat="1" hidden="1"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s="13" customFormat="1" hidden="1"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s="13" customFormat="1" hidden="1"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s="13" customFormat="1" hidden="1"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s="13" customFormat="1" hidden="1"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s="13" customFormat="1" hidden="1"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s="13" customFormat="1" hidden="1"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s="13" customFormat="1" hidden="1"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s="13" customFormat="1" hidden="1"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s="13" customFormat="1" hidden="1"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s="13" customFormat="1" hidden="1"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s="13" customFormat="1" hidden="1"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s="13" customFormat="1" hidden="1"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s="13" customFormat="1" hidden="1"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s="13" customFormat="1" hidden="1"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s="13" customFormat="1" hidden="1"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s="13" customFormat="1" hidden="1"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s="13" customFormat="1" hidden="1"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s="13" customFormat="1" hidden="1"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s="13" customFormat="1" hidden="1"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s="13" customFormat="1" hidden="1"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s="13" customFormat="1" hidden="1"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s="13" customFormat="1" hidden="1"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s="13" customFormat="1" hidden="1"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s="13" customFormat="1" hidden="1"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s="13" customFormat="1" hidden="1"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s="13" customFormat="1" hidden="1"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s="13" customFormat="1" hidden="1"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s="13" customFormat="1" hidden="1"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s="13" customFormat="1" hidden="1"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s="13" customFormat="1" hidden="1"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s="13" customFormat="1" hidden="1"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s="13" customFormat="1" hidden="1"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s="13" customFormat="1" hidden="1"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s="13" customFormat="1" hidden="1"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s="13" customFormat="1" hidden="1"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s="13" customFormat="1" hidden="1"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s="13" customFormat="1" hidden="1"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s="13" customFormat="1" hidden="1"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s="13" customFormat="1" hidden="1"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s="13" customFormat="1" hidden="1"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s="13" customFormat="1" hidden="1"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s="13" customFormat="1" hidden="1"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s="13" customFormat="1" hidden="1"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s="13" customFormat="1" hidden="1"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s="13" customFormat="1" hidden="1"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s="13" customFormat="1" hidden="1"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s="13" customFormat="1" hidden="1"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s="13" customFormat="1" hidden="1"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s="13" customFormat="1" hidden="1"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s="13" customFormat="1" hidden="1"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s="13" customFormat="1" hidden="1"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s="13" customFormat="1" hidden="1"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s="13" customFormat="1" hidden="1"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s="13" customFormat="1" hidden="1"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s="13" customFormat="1" hidden="1"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s="13" customFormat="1" hidden="1"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s="13" customFormat="1" hidden="1"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s="13" customFormat="1" hidden="1"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s="13" customFormat="1" hidden="1"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s="13" customFormat="1" hidden="1"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s="13" customFormat="1" hidden="1"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s="13" customFormat="1" hidden="1"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s="13" customFormat="1" hidden="1"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s="13" customFormat="1" hidden="1"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s="13" customFormat="1" hidden="1"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s="13" customFormat="1" hidden="1"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s="13" customFormat="1" hidden="1"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s="13" customFormat="1" hidden="1"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s="13" customFormat="1" hidden="1"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s="13" customFormat="1" hidden="1"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s="13" customFormat="1" hidden="1"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s="13" customFormat="1" hidden="1"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s="13" customFormat="1" hidden="1"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s="13" customFormat="1" hidden="1"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s="13" customFormat="1" hidden="1"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s="13" customFormat="1" hidden="1"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s="13" customFormat="1" hidden="1"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s="13" customFormat="1" hidden="1"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s="13" customFormat="1" hidden="1"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s="13" customFormat="1" hidden="1"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s="13" customFormat="1" hidden="1"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s="13" customFormat="1" hidden="1"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s="13" customFormat="1" hidden="1"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s="13" customFormat="1" hidden="1"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s="13" customFormat="1" hidden="1"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s="13" customFormat="1" hidden="1"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s="13" customFormat="1" hidden="1"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s="13" customFormat="1" hidden="1"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s="13" customFormat="1" hidden="1"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s="13" customFormat="1" hidden="1"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s="13" customFormat="1" hidden="1"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s="13" customFormat="1" hidden="1"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s="13" customFormat="1" hidden="1"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s="13" customFormat="1" hidden="1"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s="13" customFormat="1" hidden="1"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s="13" customFormat="1" hidden="1"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s="13" customFormat="1" hidden="1"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s="13" customFormat="1" hidden="1"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s="13" customFormat="1" hidden="1"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s="13" customFormat="1" hidden="1"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s="13" customFormat="1" hidden="1"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s="13" customFormat="1" hidden="1"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s="13" customFormat="1" hidden="1"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s="13" customFormat="1" hidden="1"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s="13" customFormat="1" hidden="1"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s="13" customFormat="1" hidden="1"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s="13" customFormat="1" hidden="1"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s="13" customFormat="1" hidden="1"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s="13" customFormat="1" hidden="1"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s="13" customFormat="1" hidden="1"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s="13" customFormat="1" hidden="1"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s="13" customFormat="1" hidden="1"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s="13" customFormat="1" hidden="1"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s="13" customFormat="1" hidden="1"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s="13" customFormat="1" hidden="1"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s="13" customFormat="1" hidden="1"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s="13" customFormat="1" hidden="1"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s="13" customFormat="1" hidden="1"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s="13" customFormat="1" hidden="1"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s="13" customFormat="1" hidden="1"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s="13" customFormat="1" hidden="1"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s="13" customFormat="1" hidden="1"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s="13" customFormat="1" hidden="1"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s="13" customFormat="1" hidden="1"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s="13" customFormat="1" hidden="1"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s="13" customFormat="1" hidden="1"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s="13" customFormat="1" hidden="1"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s="13" customFormat="1" hidden="1"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s="13" customFormat="1" hidden="1"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s="13" customFormat="1" hidden="1"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s="13" customFormat="1" hidden="1"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s="13" customFormat="1" hidden="1"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s="13" customFormat="1" hidden="1"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s="13" customFormat="1" hidden="1"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s="13" customFormat="1" hidden="1"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s="13" customFormat="1" hidden="1"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s="13" customFormat="1" hidden="1"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s="13" customFormat="1" hidden="1"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s="13" customFormat="1" hidden="1"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s="13" customFormat="1" hidden="1"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s="13" customFormat="1" hidden="1"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s="13" customFormat="1" hidden="1"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s="13" customFormat="1" hidden="1"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s="13" customFormat="1" hidden="1"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s="13" customFormat="1" hidden="1"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s="13" customFormat="1" hidden="1"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s="13" customFormat="1" hidden="1"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s="13" customFormat="1" hidden="1"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s="13" customFormat="1" hidden="1"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s="13" customFormat="1" hidden="1"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s="13" customFormat="1" hidden="1"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s="13" customFormat="1" hidden="1"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s="13" customFormat="1" hidden="1"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s="13" customFormat="1" hidden="1"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s="13" customFormat="1" hidden="1"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s="13" customFormat="1" hidden="1"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s="13" customFormat="1" hidden="1"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s="13" customFormat="1" hidden="1"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s="13" customFormat="1" hidden="1"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s="13" customFormat="1" hidden="1"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s="13" customFormat="1" hidden="1"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s="13" customFormat="1" hidden="1"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s="13" customFormat="1" hidden="1"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s="13" customFormat="1" hidden="1"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s="13" customFormat="1" hidden="1"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s="13" customFormat="1" hidden="1"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s="13" customFormat="1" hidden="1"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s="13" customFormat="1" hidden="1"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s="13" customFormat="1" hidden="1"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s="13" customFormat="1" hidden="1"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s="13" customFormat="1" hidden="1"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s="13" customFormat="1" hidden="1"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s="13" customFormat="1" hidden="1"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s="13" customFormat="1" hidden="1"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s="13" customFormat="1" hidden="1"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s="13" customFormat="1" hidden="1"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s="13" customFormat="1" hidden="1"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s="13" customFormat="1" hidden="1"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s="13" customFormat="1" hidden="1"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s="13" customFormat="1" hidden="1"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s="13" customFormat="1" hidden="1"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s="13" customFormat="1" hidden="1"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s="13" customFormat="1" hidden="1"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s="13" customFormat="1" hidden="1"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s="13" customFormat="1" hidden="1"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s="13" customFormat="1" hidden="1"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s="13" customFormat="1" hidden="1"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s="13" customFormat="1" hidden="1"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s="13" customFormat="1" hidden="1"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s="13" customFormat="1" hidden="1"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s="13" customFormat="1" hidden="1"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s="13" customFormat="1" hidden="1"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s="13" customFormat="1" hidden="1"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s="13" customFormat="1" hidden="1"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s="13" customFormat="1" hidden="1"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s="13" customFormat="1" hidden="1"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s="13" customFormat="1" hidden="1"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s="13" customFormat="1" hidden="1"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s="13" customFormat="1" hidden="1"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s="13" customFormat="1" hidden="1"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s="13" customFormat="1" hidden="1"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s="13" customFormat="1" hidden="1"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s="13" customFormat="1" hidden="1"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s="13" customFormat="1" hidden="1"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s="13" customFormat="1" hidden="1"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s="13" customFormat="1" hidden="1"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s="13" customFormat="1" hidden="1"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s="13" customFormat="1" hidden="1"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s="13" customFormat="1" hidden="1"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s="13" customFormat="1" hidden="1"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s="13" customFormat="1" hidden="1"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s="13" customFormat="1" hidden="1"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s="13" customFormat="1" hidden="1"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s="13" customFormat="1" hidden="1"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s="13" customFormat="1" hidden="1"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s="13" customFormat="1" hidden="1"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s="13" customFormat="1" hidden="1"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s="13" customFormat="1" hidden="1"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s="13" customFormat="1" hidden="1"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s="13" customFormat="1" hidden="1"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s="13" customFormat="1" hidden="1"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s="13" customFormat="1" hidden="1"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s="13" customFormat="1" hidden="1"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s="13" customFormat="1" hidden="1"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s="13" customFormat="1" hidden="1"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s="13" customFormat="1" hidden="1"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s="13" customFormat="1" hidden="1"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s="13" customFormat="1" hidden="1"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s="13" customFormat="1" hidden="1"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s="13" customFormat="1" hidden="1"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s="13" customFormat="1" hidden="1"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s="13" customFormat="1" hidden="1"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s="13" customFormat="1" hidden="1"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s="13" customFormat="1" hidden="1"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s="13" customFormat="1" hidden="1"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s="13" customFormat="1" hidden="1"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s="13" customFormat="1" hidden="1"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s="13" customFormat="1" hidden="1"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s="13" customFormat="1" hidden="1"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s="13" customFormat="1" hidden="1"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s="13" customFormat="1" hidden="1"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s="13" customFormat="1" hidden="1"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s="13" customFormat="1" hidden="1"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s="13" customFormat="1" hidden="1"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s="13" customFormat="1" hidden="1"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s="13" customFormat="1" hidden="1"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s="13" customFormat="1" hidden="1"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s="13" customFormat="1" hidden="1"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s="13" customFormat="1" hidden="1"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s="13" customFormat="1" hidden="1"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s="13" customFormat="1" hidden="1"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s="13" customFormat="1" hidden="1"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s="13" customFormat="1" hidden="1"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s="13" customFormat="1" hidden="1"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s="13" customFormat="1" hidden="1"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s="13" customFormat="1" hidden="1"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s="13" customFormat="1" hidden="1"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s="13" customFormat="1" hidden="1"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s="13" customFormat="1" hidden="1"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s="13" customFormat="1" hidden="1"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s="13" customFormat="1" hidden="1"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s="13" customFormat="1" hidden="1"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s="13" customFormat="1" hidden="1"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s="13" customFormat="1" hidden="1"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s="13" customFormat="1" hidden="1"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s="13" customFormat="1" hidden="1"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s="13" customFormat="1" hidden="1"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s="13" customFormat="1" hidden="1"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s="13" customFormat="1" hidden="1"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s="13" customFormat="1" hidden="1"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s="13" customFormat="1" hidden="1"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s="13" customFormat="1" hidden="1"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s="13" customFormat="1" hidden="1"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s="13" customFormat="1" hidden="1"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s="13" customFormat="1" hidden="1"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s="13" customFormat="1" hidden="1"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s="13" customFormat="1" hidden="1"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s="13" customFormat="1" hidden="1"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s="13" customFormat="1" hidden="1"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s="13" customFormat="1" hidden="1"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s="13" customFormat="1" hidden="1"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s="13" customFormat="1" hidden="1"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s="13" customFormat="1" hidden="1"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s="13" customFormat="1" hidden="1"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s="13" customFormat="1" hidden="1"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s="13" customFormat="1" hidden="1"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s="13" customFormat="1" hidden="1"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s="13" customFormat="1" hidden="1"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s="13" customFormat="1" hidden="1"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s="13" customFormat="1" hidden="1"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s="13" customFormat="1" hidden="1"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s="13" customFormat="1" hidden="1"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s="13" customFormat="1" hidden="1"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s="13" customFormat="1" hidden="1"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s="13" customFormat="1" hidden="1"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s="13" customFormat="1" hidden="1"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s="13" customFormat="1" hidden="1"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s="13" customFormat="1" hidden="1"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s="13" customFormat="1" hidden="1"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s="13" customFormat="1" hidden="1"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s="13" customFormat="1" hidden="1"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s="13" customFormat="1" hidden="1"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s="13" customFormat="1" hidden="1"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s="13" customFormat="1" hidden="1"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s="13" customFormat="1" hidden="1"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s="13" customFormat="1" hidden="1"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s="13" customFormat="1" hidden="1"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s="13" customFormat="1" hidden="1"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s="13" customFormat="1" hidden="1"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s="13" customFormat="1" hidden="1"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s="13" customFormat="1" hidden="1"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s="13" customFormat="1" hidden="1"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s="13" customFormat="1" hidden="1"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s="13" customFormat="1" hidden="1"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s="13" customFormat="1" hidden="1"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s="13" customFormat="1" hidden="1"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s="13" customFormat="1" hidden="1"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s="13" customFormat="1" hidden="1"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s="13" customFormat="1" hidden="1"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s="13" customFormat="1" hidden="1"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s="13" customFormat="1" hidden="1"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s="13" customFormat="1" hidden="1"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s="13" customFormat="1" hidden="1"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s="13" customFormat="1" hidden="1"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s="13" customFormat="1" hidden="1"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s="13" customFormat="1" hidden="1"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s="13" customFormat="1" hidden="1"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s="13" customFormat="1" hidden="1"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s="13" customFormat="1" hidden="1"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s="13" customFormat="1" hidden="1"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s="13" customFormat="1" hidden="1"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s="13" customFormat="1" hidden="1"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s="13" customFormat="1" hidden="1"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s="13" customFormat="1" hidden="1"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s="13" customFormat="1" hidden="1"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s="13" customFormat="1" hidden="1"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s="13" customFormat="1" hidden="1"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s="13" customFormat="1" hidden="1"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s="13" customFormat="1" hidden="1"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s="13" customFormat="1" hidden="1"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s="13" customFormat="1" hidden="1"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s="13" customFormat="1" hidden="1"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s="13" customFormat="1" hidden="1"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s="13" customFormat="1" hidden="1"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s="13" customFormat="1" hidden="1"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s="13" customFormat="1" hidden="1"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s="13" customFormat="1" hidden="1"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s="13" customFormat="1" hidden="1"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s="13" customFormat="1" hidden="1"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s="13" customFormat="1" hidden="1"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s="13" customFormat="1" hidden="1"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s="13" customFormat="1" hidden="1"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s="13" customFormat="1" hidden="1"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s="13" customFormat="1" hidden="1"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s="13" customFormat="1" hidden="1"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s="13" customFormat="1" hidden="1"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s="13" customFormat="1" hidden="1"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s="13" customFormat="1" hidden="1"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s="13" customFormat="1" hidden="1"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s="13" customFormat="1" hidden="1"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s="13" customFormat="1" hidden="1"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s="13" customFormat="1" hidden="1"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s="13" customFormat="1" hidden="1"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s="13" customFormat="1" hidden="1"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s="13" customFormat="1" hidden="1"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s="13" customFormat="1" hidden="1"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s="13" customFormat="1" hidden="1"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s="13" customFormat="1" hidden="1"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s="13" customFormat="1" hidden="1"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s="13" customFormat="1" hidden="1"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s="13" customFormat="1" hidden="1"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s="13" customFormat="1" hidden="1"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s="13" customFormat="1" hidden="1"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s="13" customFormat="1" hidden="1"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s="13" customFormat="1" hidden="1"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s="13" customFormat="1" hidden="1"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s="13" customFormat="1" hidden="1"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s="13" customFormat="1" hidden="1"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s="13" customFormat="1" hidden="1"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s="13" customFormat="1" hidden="1"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s="13" customFormat="1" hidden="1"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s="13" customFormat="1" hidden="1"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s="13" customFormat="1" hidden="1"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s="13" customFormat="1" hidden="1"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s="13" customFormat="1" hidden="1"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s="13" customFormat="1" hidden="1"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s="13" customFormat="1" hidden="1"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s="13" customFormat="1" hidden="1"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s="13" customFormat="1" hidden="1"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s="13" customFormat="1" hidden="1"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s="13" customFormat="1" hidden="1"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s="13" customFormat="1" hidden="1"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s="13" customFormat="1" hidden="1"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s="13" customFormat="1" hidden="1"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s="13" customFormat="1" hidden="1"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s="13" customFormat="1" hidden="1"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s="13" customFormat="1" hidden="1"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s="13" customFormat="1" hidden="1"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s="13" customFormat="1" hidden="1"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s="13" customFormat="1" hidden="1"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s="13" customFormat="1" hidden="1"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s="13" customFormat="1" hidden="1"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s="13" customFormat="1" hidden="1"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s="13" customFormat="1" hidden="1"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s="13" customFormat="1" hidden="1"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s="13" customFormat="1" hidden="1"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s="13" customFormat="1" hidden="1"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s="13" customFormat="1" hidden="1"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s="13" customFormat="1" hidden="1"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s="13" customFormat="1" hidden="1"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s="13" customFormat="1" hidden="1"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s="13" customFormat="1" hidden="1"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s="13" customFormat="1" hidden="1"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s="13" customFormat="1" hidden="1"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s="13" customFormat="1" hidden="1"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s="13" customFormat="1" hidden="1"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s="13" customFormat="1" hidden="1"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s="13" customFormat="1" hidden="1"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s="13" customFormat="1" hidden="1"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s="13" customFormat="1" hidden="1"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s="13" customFormat="1" hidden="1"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s="13" customFormat="1" hidden="1"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s="13" customFormat="1" hidden="1"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s="13" customFormat="1" hidden="1"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s="13" customFormat="1" hidden="1"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s="13" customFormat="1" hidden="1"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s="13" customFormat="1" hidden="1"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s="13" customFormat="1" hidden="1"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s="13" customFormat="1" hidden="1"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s="13" customFormat="1" hidden="1"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s="13" customFormat="1" hidden="1"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s="13" customFormat="1" hidden="1"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s="13" customFormat="1" hidden="1"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s="13" customFormat="1" hidden="1"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s="13" customFormat="1" hidden="1"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s="13" customFormat="1" hidden="1"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s="13" customFormat="1" hidden="1"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s="13" customFormat="1" hidden="1"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s="13" customFormat="1" hidden="1"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s="13" customFormat="1" hidden="1"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s="13" customFormat="1" hidden="1"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s="13" customFormat="1" hidden="1"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s="13" customFormat="1" hidden="1"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s="13" customFormat="1" hidden="1"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s="13" customFormat="1" hidden="1"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s="13" customFormat="1" hidden="1"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s="13" customFormat="1" hidden="1"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s="13" customFormat="1" hidden="1"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s="13" customFormat="1" hidden="1"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s="13" customFormat="1" hidden="1"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s="13" customFormat="1" hidden="1"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s="13" customFormat="1" hidden="1"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s="13" customFormat="1" hidden="1"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s="13" customFormat="1" hidden="1"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s="13" customFormat="1" hidden="1"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s="13" customFormat="1" hidden="1"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s="13" customFormat="1" hidden="1"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s="13" customFormat="1" hidden="1"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s="13" customFormat="1" hidden="1"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s="13" customFormat="1" hidden="1"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s="13" customFormat="1" hidden="1"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s="13" customFormat="1" hidden="1"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s="13" customFormat="1" hidden="1"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s="13" customFormat="1" hidden="1"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s="13" customFormat="1" hidden="1"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s="13" customFormat="1" hidden="1"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s="13" customFormat="1"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s="13" customFormat="1"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s="13" customFormat="1"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s="13" customFormat="1"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s="13" customFormat="1"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s="13" customFormat="1"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s="13" customFormat="1"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s="13" customFormat="1"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s="13" customFormat="1"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s="13" customFormat="1"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s="13" customFormat="1"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s="13" customFormat="1"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s="13" customFormat="1"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s="13" customFormat="1"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s="13" customFormat="1"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s="13" customFormat="1"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s="13" customFormat="1"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s="13" customFormat="1"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s="13" customFormat="1"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s="13" customFormat="1"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s="13" customFormat="1"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s="13" customFormat="1"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s="13" customFormat="1"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s="13" customFormat="1"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s="13" customFormat="1"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s="13" customFormat="1"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s="13" customFormat="1"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s="13" customFormat="1"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s="13" customFormat="1"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s="13" customFormat="1"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s="13" customFormat="1"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s="13" customFormat="1"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s="13" customFormat="1"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s="13" customFormat="1"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s="13" customFormat="1"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s="13" customFormat="1"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s="13" customFormat="1"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s="13" customFormat="1"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s="13" customFormat="1"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s="13" customFormat="1"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s="13" customFormat="1"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s="13" customFormat="1"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s="13" customFormat="1"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s="13" customFormat="1"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s="13" customFormat="1"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s="13" customFormat="1"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s="13" customFormat="1"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s="13" customFormat="1"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s="13" customFormat="1"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s="13" customFormat="1"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s="13" customFormat="1"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s="13" customFormat="1"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s="13" customFormat="1"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s="13" customFormat="1"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s="13" customFormat="1"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s="13" customFormat="1"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s="13" customFormat="1"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s="13" customFormat="1"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s="13" customFormat="1"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s="13" customFormat="1"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s="13" customFormat="1"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s="13" customFormat="1"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s="13" customFormat="1"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s="13" customFormat="1"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s="13" customFormat="1"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s="13" customFormat="1"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s="13" customFormat="1"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s="13" customFormat="1"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s="13" customFormat="1"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s="13" customFormat="1"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s="13" customFormat="1"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s="13" customFormat="1"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s="13" customFormat="1"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s="13" customFormat="1"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s="13" customFormat="1"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s="13" customFormat="1"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s="13" customFormat="1"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s="13" customFormat="1"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s="13" customFormat="1"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s="13" customFormat="1"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s="13" customFormat="1"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s="13" customFormat="1"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s="13" customFormat="1"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s="13" customFormat="1"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s="13" customFormat="1"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s="13" customFormat="1"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s="13" customFormat="1"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s="13" customFormat="1"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s="13" customFormat="1"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s="13" customFormat="1"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s="13" customFormat="1"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s="13" customFormat="1"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s="13" customFormat="1"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s="13" customFormat="1"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s="13" customFormat="1"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s="13" customFormat="1"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s="13" customFormat="1"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s="13" customFormat="1"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s="13" customFormat="1"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s="13" customFormat="1"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s="13" customFormat="1"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s="13" customFormat="1"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s="13" customFormat="1"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s="13" customFormat="1"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s="13" customFormat="1"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s="13" customFormat="1"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s="13" customFormat="1"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s="13" customFormat="1"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s="13" customFormat="1"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s="13" customFormat="1"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s="13" customFormat="1"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s="13" customFormat="1"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s="13" customFormat="1"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s="13" customFormat="1"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s="13" customFormat="1"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s="13" customFormat="1"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s="13" customFormat="1"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s="13" customFormat="1"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s="13" customFormat="1"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s="13" customFormat="1"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s="13" customFormat="1"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s="13" customFormat="1"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s="13" customFormat="1"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s="13" customFormat="1"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s="13" customFormat="1"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s="13" customFormat="1"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s="13" customFormat="1"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s="13" customFormat="1"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s="13" customFormat="1"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s="13" customFormat="1"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s="13" customFormat="1"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s="13" customFormat="1"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s="13" customFormat="1"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s="13" customFormat="1"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s="13" customFormat="1"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s="13" customFormat="1"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s="13" customFormat="1"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s="13" customFormat="1"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s="13" customFormat="1"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s="13" customFormat="1"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s="13" customFormat="1"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s="13" customFormat="1"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s="13" customFormat="1"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s="13" customFormat="1"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s="13" customFormat="1"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s="13" customFormat="1"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s="13" customFormat="1"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s="13" customFormat="1"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s="13" customFormat="1"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s="13" customFormat="1"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s="13" customFormat="1"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s="13" customFormat="1"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s="13" customFormat="1"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s="13" customFormat="1"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s="13" customFormat="1"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s="13" customFormat="1"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s="13" customFormat="1"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s="13" customFormat="1"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s="13" customFormat="1"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s="13" customFormat="1"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s="13" customFormat="1"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s="13" customFormat="1"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s="13" customFormat="1"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s="13" customFormat="1"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s="13" customFormat="1"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s="13" customFormat="1"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s="13" customFormat="1"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s="13" customFormat="1"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s="13" customFormat="1"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s="13" customFormat="1"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s="13" customFormat="1"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s="13" customFormat="1"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s="13" customFormat="1"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s="13" customFormat="1"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s="13" customFormat="1"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s="13" customFormat="1"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s="13" customFormat="1"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s="13" customFormat="1"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s="13" customFormat="1"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s="13" customFormat="1"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s="13" customFormat="1"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s="13" customFormat="1"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s="13" customFormat="1"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s="13" customFormat="1"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s="13" customFormat="1"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s="13" customFormat="1"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s="13" customFormat="1"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s="13" customFormat="1"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s="13" customFormat="1"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s="13" customFormat="1"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s="13" customFormat="1"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s="13" customFormat="1"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s="13" customFormat="1"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s="13" customFormat="1"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s="13" customFormat="1"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s="13" customFormat="1"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s="13" customFormat="1"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s="13" customFormat="1"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s="13" customFormat="1"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s="13" customFormat="1"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s="13" customFormat="1"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s="13" customFormat="1"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s="13" customFormat="1"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s="13" customFormat="1"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s="13" customFormat="1"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s="13" customFormat="1"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s="13" customFormat="1"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s="13" customFormat="1"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s="13" customFormat="1"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s="13" customFormat="1"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s="13" customFormat="1"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s="13" customFormat="1"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s="13" customFormat="1"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s="13" customFormat="1"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s="13" customFormat="1"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s="13" customFormat="1"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s="13" customFormat="1"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s="13" customFormat="1"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s="13" customFormat="1"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s="13" customFormat="1"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s="13" customFormat="1"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s="13" customFormat="1"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s="13" customFormat="1"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s="13" customFormat="1"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s="13" customFormat="1"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s="13" customFormat="1"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s="13" customFormat="1"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s="13" customFormat="1"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s="13" customFormat="1"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s="13" customFormat="1"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s="13" customFormat="1"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s="13" customFormat="1"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s="13" customFormat="1"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s="13" customFormat="1"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s="13" customFormat="1"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s="13" customFormat="1"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s="13" customFormat="1"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s="13" customFormat="1"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s="13" customFormat="1"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s="13" customFormat="1"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s="13" customFormat="1"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s="13" customFormat="1"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s="13" customFormat="1"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s="13" customFormat="1"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s="13" customFormat="1"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s="13" customFormat="1"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s="13" customFormat="1"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s="13" customFormat="1"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s="13" customFormat="1"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s="13" customFormat="1"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s="13" customFormat="1"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s="13" customFormat="1"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s="13" customFormat="1"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s="13" customFormat="1"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s="13" customFormat="1"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s="13" customFormat="1"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s="13" customFormat="1"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s="13" customFormat="1"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s="13" customFormat="1"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s="13" customFormat="1"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s="13" customFormat="1"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s="13" customFormat="1"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s="13" customFormat="1"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s="13" customFormat="1"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s="13" customFormat="1"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s="13" customFormat="1"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s="13" customFormat="1"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s="13" customFormat="1"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s="13" customFormat="1"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s="13" customFormat="1"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s="13" customFormat="1"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s="13" customFormat="1"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s="13" customFormat="1"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s="13" customFormat="1"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s="13" customFormat="1"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s="13" customFormat="1"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s="13" customFormat="1"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s="13" customFormat="1"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s="13" customFormat="1"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s="13" customFormat="1"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s="13" customFormat="1"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s="13" customFormat="1"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s="13" customFormat="1"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s="13" customFormat="1"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s="13" customFormat="1"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s="13" customFormat="1"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s="13" customFormat="1"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s="13" customFormat="1"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s="13" customFormat="1"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s="13" customFormat="1"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s="13" customFormat="1"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s="13" customFormat="1"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s="13" customFormat="1"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s="13" customFormat="1"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s="13" customFormat="1"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s="13" customFormat="1"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s="13" customFormat="1"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s="13" customFormat="1"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s="13" customFormat="1"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s="13" customFormat="1"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s="13" customFormat="1"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s="13" customFormat="1"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s="13" customFormat="1"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s="13" customFormat="1"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s="13" customFormat="1"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s="13" customFormat="1"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s="13" customFormat="1"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s="13" customFormat="1"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s="13" customFormat="1"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s="13" customFormat="1"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s="13" customFormat="1"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s="13" customFormat="1"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s="13" customFormat="1"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s="13" customFormat="1"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s="13" customFormat="1"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s="13" customFormat="1"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s="13" customFormat="1"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s="13" customFormat="1"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s="13" customFormat="1"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s="13" customFormat="1"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s="13" customFormat="1"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s="13" customFormat="1"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s="13" customFormat="1"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s="13" customFormat="1"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s="13" customFormat="1"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s="13" customFormat="1"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s="13" customFormat="1"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s="13" customFormat="1"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s="13" customFormat="1"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s="13" customFormat="1"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s="13" customFormat="1" x14ac:dyDescent="0.25">
      <c r="A3764" s="11" t="s">
        <v>105516</v>
      </c>
      <c r="B3764" s="11" t="s">
        <v>105924</v>
      </c>
      <c r="C3764" s="11" t="s">
        <v>105520</v>
      </c>
      <c r="D3764" s="11" t="s">
        <v>105573</v>
      </c>
      <c r="E3764" s="11" t="s">
        <v>105550</v>
      </c>
      <c r="F3764" s="11" t="s">
        <v>105528</v>
      </c>
      <c r="G3764" s="11" t="s">
        <v>105675</v>
      </c>
      <c r="H3764" s="11"/>
      <c r="I3764" s="11"/>
      <c r="J3764" s="12" t="s">
        <v>112497</v>
      </c>
      <c r="K3764" s="12" t="s">
        <v>106882</v>
      </c>
      <c r="L3764" s="11" t="s">
        <v>105497</v>
      </c>
      <c r="M3764" s="12"/>
      <c r="N3764" s="11" t="s">
        <v>105518</v>
      </c>
      <c r="O3764" s="11" t="s">
        <v>105518</v>
      </c>
      <c r="P3764" s="11" t="s">
        <v>105518</v>
      </c>
      <c r="Q3764" s="11" t="s">
        <v>105518</v>
      </c>
      <c r="R3764" s="11" t="s">
        <v>105518</v>
      </c>
    </row>
    <row r="3765" spans="1:18" s="13" customFormat="1"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s="13" customFormat="1"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s="13" customFormat="1"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s="13" customFormat="1"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s="13" customFormat="1"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12" t="s">
        <v>106892</v>
      </c>
      <c r="L3769" s="11" t="s">
        <v>105497</v>
      </c>
      <c r="M3769" s="12"/>
      <c r="N3769" s="11" t="s">
        <v>105518</v>
      </c>
      <c r="O3769" s="11" t="s">
        <v>105518</v>
      </c>
      <c r="P3769" s="11" t="s">
        <v>105518</v>
      </c>
      <c r="Q3769" s="11" t="s">
        <v>105518</v>
      </c>
      <c r="R3769" s="11" t="s">
        <v>105518</v>
      </c>
    </row>
    <row r="3770" spans="1:18" s="13" customFormat="1"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s="13" customFormat="1"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s="13" customFormat="1"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s="13" customFormat="1"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12" t="s">
        <v>106900</v>
      </c>
      <c r="L3773" s="11" t="s">
        <v>105497</v>
      </c>
      <c r="M3773" s="12"/>
      <c r="N3773" s="11" t="s">
        <v>105518</v>
      </c>
      <c r="O3773" s="11" t="s">
        <v>105518</v>
      </c>
      <c r="P3773" s="11" t="s">
        <v>105533</v>
      </c>
      <c r="Q3773" s="11" t="s">
        <v>105518</v>
      </c>
      <c r="R3773" s="11" t="s">
        <v>105533</v>
      </c>
    </row>
    <row r="3774" spans="1:18" s="13" customFormat="1"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s="13" customFormat="1"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s="13" customFormat="1"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s="13" customFormat="1"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s="13" customFormat="1"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s="13" customFormat="1"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s="13" customFormat="1"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s="13" customFormat="1"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s="13" customFormat="1"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s="13" customFormat="1"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s="13" customFormat="1"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s="13" customFormat="1"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s="13" customFormat="1"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s="13" customFormat="1"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s="13" customFormat="1"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s="13" customFormat="1"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s="13" customFormat="1"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s="13" customFormat="1"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s="13" customFormat="1"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s="13" customFormat="1"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s="13" customFormat="1"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s="13" customFormat="1"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s="13" customFormat="1"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s="13" customFormat="1"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s="13" customFormat="1"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s="13" customFormat="1"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s="13" customFormat="1"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s="13" customFormat="1"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s="13" customFormat="1"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s="13" customFormat="1"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s="13" customFormat="1"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s="13" customFormat="1"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s="13" customFormat="1"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s="13" customFormat="1"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s="13" customFormat="1"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s="13" customFormat="1"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s="13" customFormat="1"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s="13" customFormat="1"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s="13" customFormat="1"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s="13" customFormat="1"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s="13" customFormat="1"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s="13" customFormat="1"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s="13" customFormat="1"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s="13" customFormat="1"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s="13" customFormat="1"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s="13" customFormat="1"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s="13" customFormat="1"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s="13" customFormat="1"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s="13" customFormat="1"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s="13" customFormat="1"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s="13" customFormat="1"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s="13" customFormat="1"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s="13" customFormat="1"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s="13" customFormat="1"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s="13" customFormat="1"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s="13" customFormat="1"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s="13" customFormat="1"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s="13" customFormat="1"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s="13" customFormat="1"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s="13" customFormat="1"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s="13" customFormat="1"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s="13" customFormat="1"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s="13" customFormat="1"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s="13" customFormat="1"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s="13" customFormat="1"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s="13" customFormat="1"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s="13" customFormat="1"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s="13" customFormat="1"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s="13" customFormat="1"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s="13" customFormat="1"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s="13" customFormat="1"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s="13" customFormat="1"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s="13" customFormat="1"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s="13" customFormat="1"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s="13" customFormat="1"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s="13" customFormat="1"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s="13" customFormat="1"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s="13" customFormat="1"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s="13" customFormat="1"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s="13" customFormat="1"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s="13" customFormat="1"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s="13" customFormat="1"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s="13" customFormat="1"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s="13" customFormat="1"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s="13" customFormat="1"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s="13" customFormat="1"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s="13" customFormat="1"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s="13" customFormat="1"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s="13" customFormat="1"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s="13" customFormat="1"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s="13" customFormat="1"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s="13" customFormat="1"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s="13" customFormat="1"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s="13" customFormat="1"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s="13" customFormat="1"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s="13" customFormat="1"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s="13" customFormat="1"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s="13" customFormat="1"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s="13" customFormat="1"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s="13" customFormat="1"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s="13" customFormat="1"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s="13" customFormat="1"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s="13" customFormat="1"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s="13" customFormat="1"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s="13" customFormat="1"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s="13" customFormat="1"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s="13" customFormat="1"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s="13" customFormat="1"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s="13" customFormat="1"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s="13" customFormat="1"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s="13" customFormat="1"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s="13" customFormat="1"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s="13" customFormat="1"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s="13" customFormat="1"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s="13" customFormat="1"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s="13" customFormat="1"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s="13" customFormat="1"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s="13" customFormat="1"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s="13" customFormat="1"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s="13" customFormat="1"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s="13" customFormat="1"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s="13" customFormat="1"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s="13" customFormat="1"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s="13" customFormat="1"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s="13" customFormat="1"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s="13" customFormat="1"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s="13" customFormat="1"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s="13" customFormat="1"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s="13" customFormat="1"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s="13" customFormat="1"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s="13" customFormat="1"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s="13" customFormat="1"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s="13" customFormat="1"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s="13" customFormat="1"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s="13" customFormat="1"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s="13" customFormat="1"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s="13" customFormat="1"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s="13" customFormat="1"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s="13" customFormat="1"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s="13" customFormat="1"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s="13" customFormat="1"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s="13" customFormat="1"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s="13" customFormat="1"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s="13" customFormat="1"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s="13" customFormat="1"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s="13" customFormat="1"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s="13" customFormat="1"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s="13" customFormat="1"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s="13" customFormat="1"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s="13" customFormat="1"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s="13" customFormat="1"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s="13" customFormat="1"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s="13" customFormat="1"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s="13" customFormat="1"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s="13" customFormat="1"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s="13" customFormat="1"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s="13" customFormat="1"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s="13" customFormat="1"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s="13" customFormat="1"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s="13" customFormat="1"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s="13" customFormat="1"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s="13" customFormat="1"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s="13" customFormat="1"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s="13" customFormat="1"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s="13" customFormat="1"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s="13" customFormat="1"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s="13" customFormat="1"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s="13" customFormat="1"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s="13" customFormat="1"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s="13" customFormat="1"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s="13" customFormat="1"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s="13" customFormat="1"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s="13" customFormat="1"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s="13" customFormat="1"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s="13" customFormat="1"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s="13" customFormat="1"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s="13" customFormat="1"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s="13" customFormat="1"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s="13" customFormat="1"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s="13" customFormat="1"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s="13" customFormat="1"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s="13" customFormat="1"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s="13" customFormat="1"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s="13" customFormat="1"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s="13" customFormat="1"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s="13" customFormat="1"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s="13" customFormat="1"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s="13" customFormat="1"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s="13" customFormat="1"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s="13" customFormat="1"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s="13" customFormat="1"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s="13" customFormat="1"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s="13" customFormat="1"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s="13" customFormat="1"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s="13" customFormat="1"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s="13" customFormat="1"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s="13" customFormat="1"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s="13" customFormat="1"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s="13" customFormat="1"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s="13" customFormat="1"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s="13" customFormat="1"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s="13" customFormat="1"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s="13" customFormat="1"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s="13" customFormat="1"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s="13" customFormat="1"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s="13" customFormat="1"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s="13" customFormat="1"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s="13" customFormat="1"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s="13" customFormat="1"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s="13" customFormat="1"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s="13" customFormat="1"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s="13" customFormat="1"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s="13" customFormat="1"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s="13" customFormat="1"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s="13" customFormat="1"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s="13" customFormat="1"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s="13" customFormat="1"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s="13" customFormat="1"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s="13" customFormat="1"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s="13" customFormat="1"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s="13" customFormat="1"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s="13" customFormat="1"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s="13" customFormat="1"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s="13" customFormat="1"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s="13" customFormat="1"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s="13" customFormat="1"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s="13" customFormat="1"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s="13" customFormat="1"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s="13" customFormat="1"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s="13" customFormat="1"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s="13" customFormat="1"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s="13" customFormat="1"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s="13" customFormat="1"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s="13" customFormat="1"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s="13" customFormat="1"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s="13" customFormat="1"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s="13" customFormat="1"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s="13" customFormat="1"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s="13" customFormat="1"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s="13" customFormat="1"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s="13" customFormat="1"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s="13" customFormat="1"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s="13" customFormat="1"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s="13" customFormat="1"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s="13" customFormat="1"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s="13" customFormat="1"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s="13" customFormat="1"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s="13" customFormat="1"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s="13" customFormat="1"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s="13" customFormat="1"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s="13" customFormat="1"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s="13" customFormat="1"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s="13" customFormat="1" hidden="1"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s="13" customFormat="1" hidden="1"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s="13" customFormat="1" hidden="1"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s="13" customFormat="1" hidden="1"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s="13" customFormat="1" hidden="1"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s="13" customFormat="1" hidden="1"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s="13" customFormat="1" hidden="1"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s="13" customFormat="1" hidden="1"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s="13" customFormat="1" hidden="1"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s="13" customFormat="1" hidden="1"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s="13" customFormat="1" hidden="1"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s="13" customFormat="1" hidden="1"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s="13" customFormat="1" hidden="1"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s="13" customFormat="1" hidden="1"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s="13" customFormat="1" hidden="1"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s="13" customFormat="1" hidden="1"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s="13" customFormat="1" hidden="1"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s="13" customFormat="1" hidden="1"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s="13" customFormat="1" hidden="1"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s="13" customFormat="1" hidden="1"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s="13" customFormat="1" hidden="1"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s="13" customFormat="1" hidden="1"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s="13" customFormat="1" hidden="1"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s="13" customFormat="1" hidden="1"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s="13" customFormat="1" hidden="1"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s="13" customFormat="1" hidden="1"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s="13" customFormat="1" hidden="1"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s="13" customFormat="1" hidden="1"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s="13" customFormat="1" hidden="1"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s="13" customFormat="1" hidden="1"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s="13" customFormat="1" hidden="1"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s="13" customFormat="1" hidden="1"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s="13" customFormat="1" hidden="1"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s="13" customFormat="1" hidden="1"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s="13" customFormat="1" hidden="1"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s="13" customFormat="1" hidden="1"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s="13" customFormat="1" hidden="1"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s="13" customFormat="1" hidden="1"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s="13" customFormat="1" hidden="1"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s="13" customFormat="1" hidden="1"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s="13" customFormat="1" hidden="1"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s="13" customFormat="1" hidden="1"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s="13" customFormat="1" hidden="1"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s="13" customFormat="1" hidden="1"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s="13" customFormat="1" hidden="1"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s="13" customFormat="1" hidden="1"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s="13" customFormat="1" hidden="1"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s="13" customFormat="1" hidden="1"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s="13" customFormat="1" hidden="1"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s="13" customFormat="1" hidden="1"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s="13" customFormat="1" hidden="1"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s="13" customFormat="1" hidden="1"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s="13" customFormat="1" hidden="1"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s="13" customFormat="1" hidden="1"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s="13" customFormat="1" hidden="1"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s="13" customFormat="1" hidden="1"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s="13" customFormat="1" hidden="1"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s="13" customFormat="1" hidden="1"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s="13" customFormat="1" hidden="1"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s="13" customFormat="1" hidden="1"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s="13" customFormat="1" hidden="1"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s="13" customFormat="1" hidden="1"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s="13" customFormat="1" hidden="1"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s="13" customFormat="1" hidden="1"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s="13" customFormat="1" hidden="1"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s="13" customFormat="1" hidden="1"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s="13" customFormat="1" hidden="1"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s="13" customFormat="1" hidden="1"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s="13" customFormat="1" hidden="1"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s="13" customFormat="1" hidden="1"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s="13" customFormat="1" hidden="1"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s="13" customFormat="1" hidden="1"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s="13" customFormat="1" hidden="1"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s="13" customFormat="1" hidden="1"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s="13" customFormat="1" hidden="1"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s="13" customFormat="1" hidden="1"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s="13" customFormat="1" hidden="1"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s="13" customFormat="1" hidden="1"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s="13" customFormat="1" hidden="1"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s="13" customFormat="1" hidden="1"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s="13" customFormat="1" hidden="1"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s="13" customFormat="1" hidden="1"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s="13" customFormat="1" hidden="1"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s="13" customFormat="1" hidden="1"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s="13" customFormat="1" hidden="1"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s="13" customFormat="1" hidden="1"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s="13" customFormat="1" hidden="1"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s="13" customFormat="1" hidden="1"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s="13" customFormat="1" hidden="1"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s="13" customFormat="1" hidden="1"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s="13" customFormat="1" hidden="1"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s="13" customFormat="1" hidden="1"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s="13" customFormat="1" hidden="1"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s="13" customFormat="1" hidden="1"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s="13" customFormat="1" hidden="1"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s="13" customFormat="1" hidden="1"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s="13" customFormat="1" hidden="1"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s="13" customFormat="1" hidden="1"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s="13" customFormat="1" hidden="1"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autoFilter ref="A8:R4124" xr:uid="{00000000-0009-0000-0000-000007000000}">
    <filterColumn colId="1">
      <filters blank="1">
        <filter val="02"/>
        <filter val="05"/>
        <filter val="06"/>
        <filter val="07"/>
        <filter val="08"/>
      </filters>
    </filterColumn>
  </autoFilter>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52846"/>
  <sheetViews>
    <sheetView topLeftCell="A52812" workbookViewId="0">
      <selection activeCell="B52850" sqref="B52850"/>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PLAN ADQUISICIONES 2025</vt:lpstr>
      <vt:lpstr>2025  vs  2024</vt:lpstr>
      <vt:lpstr>OPS 2025</vt:lpstr>
      <vt:lpstr>plan adqu 2025 NECESIDADES</vt:lpstr>
      <vt:lpstr>Plan Adqui V34 2024</vt:lpstr>
      <vt:lpstr>Plan preliminar  ICFE 2025</vt:lpstr>
      <vt:lpstr>Plan Adqu ICFE 2023 (2)</vt:lpstr>
      <vt:lpstr>CatalogoPresupuestal</vt:lpstr>
      <vt:lpstr>Código UNSPSC</vt:lpstr>
      <vt:lpstr>OPS-2024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Paola Garay Robayo</dc:creator>
  <cp:lastModifiedBy>Ivan Dario Mora Paez</cp:lastModifiedBy>
  <dcterms:created xsi:type="dcterms:W3CDTF">2023-10-19T21:58:24Z</dcterms:created>
  <dcterms:modified xsi:type="dcterms:W3CDTF">2025-02-27T11:54:57Z</dcterms:modified>
</cp:coreProperties>
</file>